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showSheetTabs="0" xWindow="0" yWindow="0" windowWidth="28800" windowHeight="123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1'!$A$6:$AB$412</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43" i="11" l="1"/>
  <c r="W343" i="11" s="1"/>
  <c r="R407" i="11" l="1"/>
  <c r="R406" i="11"/>
  <c r="R411" i="11"/>
  <c r="R410" i="11"/>
  <c r="R409" i="11"/>
  <c r="R373" i="11" l="1"/>
  <c r="R374" i="11"/>
  <c r="AA355" i="11"/>
  <c r="AA354" i="11"/>
  <c r="Z183" i="11" l="1"/>
  <c r="V183" i="11"/>
  <c r="W413" i="11"/>
  <c r="W412" i="11"/>
  <c r="W411" i="11"/>
  <c r="W410" i="11"/>
  <c r="W409" i="11"/>
  <c r="W408" i="11"/>
  <c r="W407" i="11"/>
  <c r="W406" i="11"/>
  <c r="W405" i="11"/>
  <c r="W404" i="11"/>
  <c r="W403" i="11"/>
  <c r="W402" i="11"/>
  <c r="W401" i="11"/>
  <c r="W400" i="11"/>
  <c r="W399" i="11"/>
  <c r="W394" i="11"/>
  <c r="W393" i="11"/>
  <c r="W392" i="11"/>
  <c r="W391" i="11"/>
  <c r="W390" i="11"/>
  <c r="W389" i="11"/>
  <c r="W388" i="11"/>
  <c r="W387" i="11"/>
  <c r="W386" i="11"/>
  <c r="W385" i="11"/>
  <c r="W384" i="11"/>
  <c r="W383" i="11"/>
  <c r="W382" i="11"/>
  <c r="W381" i="11"/>
  <c r="W380" i="11"/>
  <c r="W379" i="11"/>
  <c r="W378" i="11"/>
  <c r="W377" i="11"/>
  <c r="W376" i="11"/>
  <c r="W375" i="11"/>
  <c r="W374" i="11"/>
  <c r="W373" i="11"/>
  <c r="W372" i="11"/>
  <c r="W371" i="11"/>
  <c r="W370" i="11"/>
  <c r="W369" i="11"/>
  <c r="W361" i="11"/>
  <c r="W359" i="11"/>
  <c r="W355" i="11"/>
  <c r="W354" i="11"/>
  <c r="W352" i="11"/>
  <c r="W350" i="11"/>
  <c r="W348" i="11"/>
  <c r="W341" i="11"/>
  <c r="W339" i="11"/>
  <c r="W335" i="11"/>
  <c r="W331" i="11"/>
  <c r="W330" i="11"/>
  <c r="W326" i="11"/>
  <c r="W325" i="11"/>
  <c r="W324" i="11"/>
  <c r="W323" i="11"/>
  <c r="W322" i="11"/>
  <c r="W321" i="11"/>
  <c r="W320" i="11"/>
  <c r="W319" i="11"/>
  <c r="W318" i="11"/>
  <c r="W317" i="11"/>
  <c r="W315" i="11"/>
  <c r="W314" i="11"/>
  <c r="W313" i="11"/>
  <c r="W310" i="11"/>
  <c r="W309" i="11"/>
  <c r="W308" i="11"/>
  <c r="W307" i="11"/>
  <c r="W306" i="11"/>
  <c r="W305" i="11"/>
  <c r="W304" i="11"/>
  <c r="W303" i="11"/>
  <c r="W298" i="11"/>
  <c r="W294" i="11"/>
  <c r="W291" i="11"/>
  <c r="W286" i="11"/>
  <c r="W282" i="11"/>
  <c r="W281" i="11"/>
  <c r="W280" i="11"/>
  <c r="W279" i="11"/>
  <c r="W278" i="11"/>
  <c r="W277" i="11"/>
  <c r="W275" i="11"/>
  <c r="W274" i="11"/>
  <c r="W273" i="11"/>
  <c r="W272" i="11"/>
  <c r="W271" i="11"/>
  <c r="W269" i="11"/>
  <c r="W268" i="11"/>
  <c r="W267" i="11"/>
  <c r="W266" i="11"/>
  <c r="W265" i="11"/>
  <c r="W264" i="11"/>
  <c r="W263" i="11"/>
  <c r="W262" i="11"/>
  <c r="W261" i="11"/>
  <c r="W260" i="11"/>
  <c r="W255" i="11"/>
  <c r="W253" i="11"/>
  <c r="W252" i="11"/>
  <c r="W249" i="11"/>
  <c r="W246" i="11"/>
  <c r="W244" i="11"/>
  <c r="W243" i="11"/>
  <c r="W240" i="11"/>
  <c r="W239" i="11"/>
  <c r="W236" i="11"/>
  <c r="W233" i="11"/>
  <c r="W226" i="11"/>
  <c r="W224" i="11"/>
  <c r="W221" i="11"/>
  <c r="W220" i="11"/>
  <c r="W217" i="11"/>
  <c r="W214" i="11"/>
  <c r="W213" i="11"/>
  <c r="W209" i="11"/>
  <c r="W208" i="11"/>
  <c r="W207" i="11"/>
  <c r="W206" i="11"/>
  <c r="W205" i="11"/>
  <c r="W204" i="11"/>
  <c r="W202" i="11"/>
  <c r="W201" i="11"/>
  <c r="W200" i="11"/>
  <c r="W199" i="11"/>
  <c r="W197" i="11"/>
  <c r="W193" i="11"/>
  <c r="W190" i="11"/>
  <c r="W187" i="11"/>
  <c r="W186" i="11"/>
  <c r="W184" i="11"/>
  <c r="W183" i="11"/>
  <c r="W182" i="11"/>
  <c r="W179" i="11"/>
  <c r="W178" i="11"/>
  <c r="W177" i="11"/>
  <c r="W176" i="11"/>
  <c r="W175" i="11"/>
  <c r="W174" i="11"/>
  <c r="W173" i="11"/>
  <c r="W172" i="11"/>
  <c r="W170" i="11"/>
  <c r="W168"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8" i="11"/>
  <c r="W137" i="11"/>
  <c r="W136" i="11"/>
  <c r="W135" i="11"/>
  <c r="W134" i="11"/>
  <c r="W133" i="11"/>
  <c r="W132" i="11"/>
  <c r="W131" i="11"/>
  <c r="W130" i="11"/>
  <c r="W129" i="11"/>
  <c r="W128" i="11"/>
  <c r="W127" i="11"/>
  <c r="W126" i="11"/>
  <c r="W125" i="11"/>
  <c r="W124" i="11"/>
  <c r="W120" i="11"/>
  <c r="W119" i="11"/>
  <c r="W118" i="11"/>
  <c r="W117" i="11"/>
  <c r="W116" i="11"/>
  <c r="W115" i="11"/>
  <c r="W111" i="11"/>
  <c r="W105" i="11"/>
  <c r="W102" i="11"/>
  <c r="W101" i="11"/>
  <c r="W99" i="11"/>
  <c r="W98" i="11"/>
  <c r="W97" i="11"/>
  <c r="W93" i="11"/>
  <c r="W91" i="11"/>
  <c r="W88" i="11"/>
  <c r="W87" i="11"/>
  <c r="W86" i="11"/>
  <c r="W85" i="11"/>
  <c r="W84" i="11"/>
  <c r="W83" i="11"/>
  <c r="W80" i="11"/>
  <c r="W77" i="11"/>
  <c r="W74" i="11"/>
  <c r="W71" i="11"/>
  <c r="W68" i="11"/>
  <c r="W66" i="11"/>
  <c r="W64" i="11"/>
  <c r="W61" i="11"/>
  <c r="W59" i="11"/>
  <c r="W56" i="11"/>
  <c r="W54" i="11"/>
  <c r="W51" i="11"/>
  <c r="W49" i="11"/>
  <c r="W48" i="11"/>
  <c r="W44" i="11"/>
  <c r="W43" i="11"/>
  <c r="W41" i="11"/>
  <c r="W40" i="11"/>
  <c r="W39" i="11"/>
  <c r="W37" i="11"/>
  <c r="W35" i="11"/>
  <c r="W31" i="11"/>
  <c r="W25" i="11"/>
  <c r="W24" i="11"/>
  <c r="W23" i="11"/>
  <c r="W17" i="11"/>
  <c r="W14" i="11"/>
  <c r="W13" i="11"/>
  <c r="Z226" i="11" l="1"/>
  <c r="AB386" i="11"/>
  <c r="AB388" i="11"/>
  <c r="AB390" i="11"/>
  <c r="AB391" i="11"/>
  <c r="Z404" i="11"/>
  <c r="R294" i="11" l="1"/>
  <c r="R260" i="11"/>
  <c r="Z43" i="11" l="1"/>
  <c r="AA413" i="11" l="1"/>
  <c r="AA410" i="11"/>
  <c r="AA407" i="11"/>
  <c r="AA403" i="11"/>
  <c r="AA391" i="11"/>
  <c r="AA390" i="11"/>
  <c r="AA388" i="11"/>
  <c r="AA386" i="11"/>
  <c r="AA352" i="11"/>
  <c r="AA326" i="11"/>
  <c r="AA315" i="11"/>
  <c r="AA314" i="11"/>
  <c r="AA310" i="11"/>
  <c r="AA309" i="11"/>
  <c r="AA308" i="11"/>
  <c r="AA306" i="11"/>
  <c r="AA294" i="11"/>
  <c r="AA291" i="11"/>
  <c r="AA281" i="11"/>
  <c r="AA279" i="11"/>
  <c r="AA278" i="11"/>
  <c r="AA277" i="11"/>
  <c r="AA275" i="11"/>
  <c r="AA274" i="11"/>
  <c r="AA273" i="11"/>
  <c r="AA272" i="11"/>
  <c r="AA271" i="11"/>
  <c r="AA269" i="11"/>
  <c r="AA268" i="11"/>
  <c r="AA265" i="11"/>
  <c r="AA262" i="11"/>
  <c r="AA252" i="11"/>
  <c r="AA249" i="11"/>
  <c r="AA246" i="11"/>
  <c r="AA244" i="11"/>
  <c r="AA240" i="11"/>
  <c r="AA239" i="11"/>
  <c r="AA236" i="11"/>
  <c r="AA233" i="11"/>
  <c r="AA224" i="11"/>
  <c r="AA221" i="11"/>
  <c r="AA220" i="11"/>
  <c r="AA213" i="11"/>
  <c r="AA208" i="11"/>
  <c r="AA206" i="11"/>
  <c r="AA205" i="11"/>
  <c r="AA204" i="11"/>
  <c r="AA202" i="11"/>
  <c r="AA200" i="11"/>
  <c r="AA193" i="11"/>
  <c r="AA190" i="11"/>
  <c r="AA187" i="11"/>
  <c r="AA184" i="11"/>
  <c r="AA182" i="11"/>
  <c r="AA179" i="11"/>
  <c r="AA177" i="11"/>
  <c r="AA175" i="11"/>
  <c r="AA173" i="11"/>
  <c r="AA170" i="11"/>
  <c r="AA167" i="11"/>
  <c r="AA166" i="11"/>
  <c r="AA165" i="11"/>
  <c r="AA163" i="11"/>
  <c r="AA162" i="11"/>
  <c r="AA161" i="11"/>
  <c r="AA159" i="11"/>
  <c r="AA157" i="11"/>
  <c r="AA155" i="11"/>
  <c r="AA146" i="11"/>
  <c r="AA144" i="11"/>
  <c r="AA143" i="11"/>
  <c r="AA140" i="11"/>
  <c r="AA139" i="11"/>
  <c r="AA138" i="11"/>
  <c r="AA127" i="11"/>
  <c r="AA124" i="11"/>
  <c r="AA120" i="11"/>
  <c r="AA118" i="11"/>
  <c r="AA116" i="11"/>
  <c r="AA111" i="11"/>
  <c r="AA102" i="11"/>
  <c r="AA101" i="11"/>
  <c r="AA98" i="11"/>
  <c r="AA97" i="11"/>
  <c r="AA91" i="11"/>
  <c r="AA88" i="11"/>
  <c r="AA84" i="11"/>
  <c r="AA83" i="11"/>
  <c r="AA71" i="11"/>
  <c r="AA68" i="11"/>
  <c r="AA66" i="11"/>
  <c r="AA64" i="11"/>
  <c r="AA61" i="11"/>
  <c r="AA59" i="11"/>
  <c r="AA56" i="11"/>
  <c r="AA54" i="11"/>
  <c r="AA51" i="11"/>
  <c r="AA49" i="11"/>
  <c r="AA48" i="11"/>
  <c r="AA44" i="11"/>
  <c r="AA41" i="11"/>
  <c r="AA39" i="11"/>
  <c r="AA37" i="11"/>
  <c r="AA35" i="11"/>
  <c r="AA31" i="11"/>
  <c r="AA13" i="11"/>
  <c r="V182" i="11"/>
  <c r="X413" i="11"/>
  <c r="Z313" i="11"/>
  <c r="R341" i="11" l="1"/>
  <c r="R339" i="11"/>
  <c r="AA341" i="11" l="1"/>
  <c r="Z350" i="11"/>
  <c r="AA350" i="11" s="1"/>
  <c r="V350" i="11"/>
  <c r="AA404" i="11" l="1"/>
  <c r="AA348" i="11"/>
  <c r="Z342" i="11"/>
  <c r="X342" i="11"/>
  <c r="V342" i="11"/>
  <c r="Z340" i="11"/>
  <c r="V340" i="11"/>
  <c r="X127" i="11" l="1"/>
  <c r="R40" i="11" l="1"/>
  <c r="AA40" i="11" s="1"/>
  <c r="Z347" i="11" l="1"/>
  <c r="V347" i="11"/>
  <c r="Z219" i="11"/>
  <c r="V219" i="11"/>
  <c r="Z185" i="11"/>
  <c r="V185" i="11"/>
  <c r="Z181" i="11"/>
  <c r="V181" i="11"/>
  <c r="X186" i="11"/>
  <c r="X185" i="11" s="1"/>
  <c r="Z70" i="11"/>
  <c r="Z69" i="11" s="1"/>
  <c r="V70" i="11"/>
  <c r="V69" i="11" s="1"/>
  <c r="Z67" i="11"/>
  <c r="V67" i="11"/>
  <c r="V338" i="11"/>
  <c r="V337" i="11" s="1"/>
  <c r="V336" i="11" s="1"/>
  <c r="T254" i="11"/>
  <c r="V254" i="11"/>
  <c r="Z254" i="11"/>
  <c r="Z251" i="11"/>
  <c r="Z368" i="11"/>
  <c r="Z367" i="11" s="1"/>
  <c r="Z366" i="11" s="1"/>
  <c r="Z365" i="11" s="1"/>
  <c r="Z334" i="11"/>
  <c r="Z333" i="11" s="1"/>
  <c r="Z332" i="11" s="1"/>
  <c r="V334" i="11"/>
  <c r="V333" i="11" s="1"/>
  <c r="V332" i="11" s="1"/>
  <c r="Z329" i="11"/>
  <c r="Z328" i="11" s="1"/>
  <c r="Z327" i="11" s="1"/>
  <c r="V329" i="11"/>
  <c r="V328" i="11" s="1"/>
  <c r="V327" i="11" s="1"/>
  <c r="Z316" i="11"/>
  <c r="Z312" i="11"/>
  <c r="V312" i="11"/>
  <c r="V302" i="11"/>
  <c r="V301" i="11" s="1"/>
  <c r="V300" i="11" s="1"/>
  <c r="Z297" i="11"/>
  <c r="Z296" i="11" s="1"/>
  <c r="Z295" i="11" s="1"/>
  <c r="V297" i="11"/>
  <c r="V296" i="11" s="1"/>
  <c r="V295" i="11" s="1"/>
  <c r="Z293" i="11"/>
  <c r="Z292" i="11" s="1"/>
  <c r="V293" i="11"/>
  <c r="V292" i="11" s="1"/>
  <c r="Z290" i="11"/>
  <c r="V290" i="11"/>
  <c r="Z285" i="11"/>
  <c r="Z284" i="11" s="1"/>
  <c r="Z283" i="11" s="1"/>
  <c r="V285" i="11"/>
  <c r="V284" i="11" s="1"/>
  <c r="V283" i="11" s="1"/>
  <c r="Z276" i="11"/>
  <c r="V276" i="11"/>
  <c r="Z270" i="11"/>
  <c r="V270" i="11"/>
  <c r="V259" i="11"/>
  <c r="Z248" i="11"/>
  <c r="Z247" i="11" s="1"/>
  <c r="V248" i="11"/>
  <c r="V247" i="11" s="1"/>
  <c r="Z245" i="11"/>
  <c r="V245" i="11"/>
  <c r="Z242" i="11"/>
  <c r="V242" i="11"/>
  <c r="Z238" i="11"/>
  <c r="Z237" i="11" s="1"/>
  <c r="Z235" i="11"/>
  <c r="Z234" i="11" s="1"/>
  <c r="V235" i="11"/>
  <c r="V234" i="11" s="1"/>
  <c r="Z232" i="11"/>
  <c r="Z231" i="11" s="1"/>
  <c r="V232" i="11"/>
  <c r="V231" i="11" s="1"/>
  <c r="Z223" i="11"/>
  <c r="Z222" i="11" s="1"/>
  <c r="V223" i="11"/>
  <c r="V222" i="11" s="1"/>
  <c r="Z216" i="11"/>
  <c r="Z215" i="11" s="1"/>
  <c r="Z212" i="11"/>
  <c r="Z211" i="11" s="1"/>
  <c r="Z198" i="11"/>
  <c r="V198" i="11"/>
  <c r="Z196" i="11"/>
  <c r="Z192" i="11"/>
  <c r="Z191" i="11" s="1"/>
  <c r="V192" i="11"/>
  <c r="V191" i="11" s="1"/>
  <c r="Z189" i="11"/>
  <c r="V189" i="11"/>
  <c r="Z171" i="11"/>
  <c r="V171" i="11"/>
  <c r="Z169" i="11"/>
  <c r="V169" i="11"/>
  <c r="Z114" i="11"/>
  <c r="Z113" i="11" s="1"/>
  <c r="V114" i="11"/>
  <c r="V113" i="11" s="1"/>
  <c r="Z110" i="11"/>
  <c r="Z109" i="11" s="1"/>
  <c r="Z108" i="11" s="1"/>
  <c r="Z107" i="11" s="1"/>
  <c r="Z106" i="11" s="1"/>
  <c r="V110" i="11"/>
  <c r="V109" i="11" s="1"/>
  <c r="V108" i="11" s="1"/>
  <c r="V107" i="11" s="1"/>
  <c r="V106" i="11" s="1"/>
  <c r="Z104" i="11"/>
  <c r="V104" i="11"/>
  <c r="Z92" i="11"/>
  <c r="V92" i="11"/>
  <c r="Z90" i="11"/>
  <c r="V90" i="11"/>
  <c r="Z82" i="11"/>
  <c r="V82" i="11"/>
  <c r="V81" i="11" s="1"/>
  <c r="Z79" i="11"/>
  <c r="Z78" i="11" s="1"/>
  <c r="Z76" i="11"/>
  <c r="Z75" i="11" s="1"/>
  <c r="Z65" i="11"/>
  <c r="V65" i="11"/>
  <c r="Z63" i="11"/>
  <c r="V63" i="11"/>
  <c r="Z60" i="11"/>
  <c r="V60" i="11"/>
  <c r="Z58" i="11"/>
  <c r="V58" i="11"/>
  <c r="Z55" i="11"/>
  <c r="V55" i="11"/>
  <c r="Z53" i="11"/>
  <c r="V53" i="11"/>
  <c r="Z50" i="11"/>
  <c r="V50" i="11"/>
  <c r="Z47" i="11"/>
  <c r="V47" i="11"/>
  <c r="Z36" i="11"/>
  <c r="V36" i="11"/>
  <c r="Z34" i="11"/>
  <c r="V34" i="11"/>
  <c r="Z22" i="11"/>
  <c r="Z21" i="11" s="1"/>
  <c r="Z20" i="11" s="1"/>
  <c r="V22" i="11"/>
  <c r="V21" i="11" s="1"/>
  <c r="V20" i="11" s="1"/>
  <c r="V19" i="11" s="1"/>
  <c r="V18" i="11" s="1"/>
  <c r="Z16" i="11"/>
  <c r="Z15" i="11" s="1"/>
  <c r="Z12" i="11"/>
  <c r="V12" i="11"/>
  <c r="V11" i="11" s="1"/>
  <c r="Z225" i="11"/>
  <c r="Z100" i="11"/>
  <c r="V100" i="11"/>
  <c r="Z96" i="11"/>
  <c r="Z81" i="11"/>
  <c r="Z73" i="11"/>
  <c r="V73" i="11"/>
  <c r="V42" i="11"/>
  <c r="Z38" i="11"/>
  <c r="V38" i="11"/>
  <c r="Z351" i="11"/>
  <c r="V351" i="11"/>
  <c r="Z349" i="11"/>
  <c r="V349" i="11"/>
  <c r="Z30" i="11"/>
  <c r="V30" i="11"/>
  <c r="V29" i="11" s="1"/>
  <c r="V28" i="11" s="1"/>
  <c r="V218" i="11" l="1"/>
  <c r="V103" i="11"/>
  <c r="V241" i="11"/>
  <c r="Z218" i="11"/>
  <c r="Z210" i="11" s="1"/>
  <c r="Z103" i="11"/>
  <c r="Z95" i="11" s="1"/>
  <c r="Z346" i="11"/>
  <c r="Z46" i="11"/>
  <c r="Z52" i="11"/>
  <c r="V346" i="11"/>
  <c r="V345" i="11" s="1"/>
  <c r="V344" i="11" s="1"/>
  <c r="V180" i="11"/>
  <c r="Z250" i="11"/>
  <c r="V62" i="11"/>
  <c r="Z62" i="11"/>
  <c r="Z89" i="11"/>
  <c r="Z72" i="11" s="1"/>
  <c r="Z188" i="11"/>
  <c r="Z241" i="11"/>
  <c r="Z230" i="11" s="1"/>
  <c r="Z311" i="11"/>
  <c r="V33" i="11"/>
  <c r="V32" i="11" s="1"/>
  <c r="V46" i="11"/>
  <c r="V52" i="11"/>
  <c r="V57" i="11"/>
  <c r="V258" i="11"/>
  <c r="V257" i="11" s="1"/>
  <c r="Z180" i="11"/>
  <c r="V89" i="11"/>
  <c r="V188" i="11"/>
  <c r="V289" i="11"/>
  <c r="V288" i="11" s="1"/>
  <c r="V287" i="11" s="1"/>
  <c r="Z289" i="11"/>
  <c r="Z288" i="11" s="1"/>
  <c r="Z287" i="11" s="1"/>
  <c r="Z57" i="11"/>
  <c r="Z11" i="11"/>
  <c r="Z10" i="11" s="1"/>
  <c r="Z19" i="11"/>
  <c r="Z18" i="11" s="1"/>
  <c r="Z29" i="11"/>
  <c r="Z28" i="11" s="1"/>
  <c r="Z33" i="11"/>
  <c r="Z339" i="11"/>
  <c r="AA339" i="11" s="1"/>
  <c r="Z209" i="11"/>
  <c r="V209" i="11"/>
  <c r="R105" i="11"/>
  <c r="AA105" i="11" s="1"/>
  <c r="R151" i="11"/>
  <c r="AA151" i="11" s="1"/>
  <c r="R392" i="11"/>
  <c r="R393" i="11"/>
  <c r="Z168" i="11"/>
  <c r="Z123" i="11" s="1"/>
  <c r="Z122" i="11" s="1"/>
  <c r="Z121" i="11" s="1"/>
  <c r="R330" i="11"/>
  <c r="AA330" i="11" s="1"/>
  <c r="R298" i="11"/>
  <c r="AA298" i="11" s="1"/>
  <c r="R74" i="11"/>
  <c r="AA74" i="11" s="1"/>
  <c r="AA392" i="11" l="1"/>
  <c r="AA393" i="11"/>
  <c r="Z45" i="11"/>
  <c r="Z203" i="11"/>
  <c r="Z195" i="11" s="1"/>
  <c r="Z194" i="11" s="1"/>
  <c r="Z112" i="11" s="1"/>
  <c r="Z94" i="11" s="1"/>
  <c r="AA209" i="11"/>
  <c r="Z338" i="11"/>
  <c r="Z229" i="11"/>
  <c r="Z345" i="11"/>
  <c r="V45" i="11"/>
  <c r="Z9" i="11"/>
  <c r="X384" i="11"/>
  <c r="X383" i="11"/>
  <c r="Z8" i="11" l="1"/>
  <c r="Z344" i="11"/>
  <c r="Z337" i="11"/>
  <c r="R412" i="11"/>
  <c r="AA412" i="11" l="1"/>
  <c r="Z336" i="11"/>
  <c r="R384" i="11"/>
  <c r="R379" i="11"/>
  <c r="R377" i="11"/>
  <c r="R383" i="11"/>
  <c r="R382" i="11"/>
  <c r="R381" i="11"/>
  <c r="R380" i="11"/>
  <c r="R376" i="11"/>
  <c r="R375" i="11"/>
  <c r="AA375" i="11" l="1"/>
  <c r="AB375" i="11"/>
  <c r="AA383" i="11"/>
  <c r="AB383" i="11"/>
  <c r="AA376" i="11"/>
  <c r="AB376" i="11"/>
  <c r="AA381" i="11"/>
  <c r="AB381" i="11"/>
  <c r="AA377" i="11"/>
  <c r="AB377" i="11"/>
  <c r="AA384" i="11"/>
  <c r="AB384" i="11"/>
  <c r="AA380" i="11"/>
  <c r="AB380" i="11"/>
  <c r="AA382" i="11"/>
  <c r="AB382" i="11"/>
  <c r="AA379" i="11"/>
  <c r="AB379" i="11"/>
  <c r="R189" i="11"/>
  <c r="X190" i="11"/>
  <c r="X189" i="11" s="1"/>
  <c r="AA189" i="11" l="1"/>
  <c r="W189" i="11"/>
  <c r="R243" i="11"/>
  <c r="AA243" i="11" s="1"/>
  <c r="V253" i="11"/>
  <c r="V251" i="11" s="1"/>
  <c r="V250" i="11" s="1"/>
  <c r="R253" i="11"/>
  <c r="AA253" i="11" s="1"/>
  <c r="X282" i="11" l="1"/>
  <c r="X281" i="11"/>
  <c r="X280" i="11"/>
  <c r="X279" i="11"/>
  <c r="X278" i="11"/>
  <c r="X277" i="11"/>
  <c r="X275" i="11"/>
  <c r="X274" i="11"/>
  <c r="X273" i="11"/>
  <c r="X272" i="11"/>
  <c r="X271" i="11"/>
  <c r="X269" i="11"/>
  <c r="X268" i="11"/>
  <c r="X267" i="11"/>
  <c r="X265" i="11"/>
  <c r="X262" i="11"/>
  <c r="X261" i="11"/>
  <c r="X54" i="11"/>
  <c r="X53" i="11" s="1"/>
  <c r="Z266" i="11"/>
  <c r="X266" i="11" s="1"/>
  <c r="V138" i="11"/>
  <c r="X138" i="11" s="1"/>
  <c r="X48" i="11"/>
  <c r="X324" i="11"/>
  <c r="X322" i="11"/>
  <c r="X314" i="11"/>
  <c r="X264" i="11"/>
  <c r="X253" i="11"/>
  <c r="X252" i="11"/>
  <c r="V207" i="11"/>
  <c r="V203" i="11" s="1"/>
  <c r="V197" i="11"/>
  <c r="V196" i="11" s="1"/>
  <c r="V168" i="11"/>
  <c r="V99" i="11"/>
  <c r="V96" i="11" s="1"/>
  <c r="V95" i="11" s="1"/>
  <c r="X14" i="11"/>
  <c r="X13" i="11"/>
  <c r="X25" i="11"/>
  <c r="X24" i="11"/>
  <c r="X208" i="11"/>
  <c r="X202" i="11"/>
  <c r="X184" i="11"/>
  <c r="X183" i="11"/>
  <c r="X182" i="11"/>
  <c r="X167" i="11"/>
  <c r="X166" i="11"/>
  <c r="X165" i="11"/>
  <c r="X164" i="11"/>
  <c r="X163" i="11"/>
  <c r="X162" i="11"/>
  <c r="X161" i="11"/>
  <c r="X160" i="11"/>
  <c r="X159" i="11"/>
  <c r="X158" i="11"/>
  <c r="X157" i="11"/>
  <c r="X156" i="11"/>
  <c r="X155" i="11"/>
  <c r="X154" i="11"/>
  <c r="X153" i="11"/>
  <c r="X152" i="11"/>
  <c r="X151" i="11"/>
  <c r="X150" i="11"/>
  <c r="X148" i="11"/>
  <c r="X146" i="11"/>
  <c r="X144" i="11"/>
  <c r="X143" i="11"/>
  <c r="X141" i="11"/>
  <c r="X140" i="11"/>
  <c r="X139" i="11"/>
  <c r="X137" i="11"/>
  <c r="X136" i="11"/>
  <c r="X135" i="11"/>
  <c r="X134" i="11"/>
  <c r="X133" i="11"/>
  <c r="X131" i="11"/>
  <c r="X129" i="11"/>
  <c r="X125" i="11"/>
  <c r="X124" i="11"/>
  <c r="X120" i="11"/>
  <c r="X119" i="11"/>
  <c r="X118" i="11"/>
  <c r="X117" i="11"/>
  <c r="X116" i="11"/>
  <c r="X115" i="11"/>
  <c r="X111" i="11"/>
  <c r="X110" i="11" s="1"/>
  <c r="X109" i="11" s="1"/>
  <c r="X108" i="11" s="1"/>
  <c r="X107" i="11" s="1"/>
  <c r="X106" i="11" s="1"/>
  <c r="X105" i="11"/>
  <c r="X104" i="11" s="1"/>
  <c r="X103" i="11" s="1"/>
  <c r="X102" i="11"/>
  <c r="X101" i="11"/>
  <c r="X98" i="11"/>
  <c r="X97" i="11"/>
  <c r="X93" i="11"/>
  <c r="X92" i="11" s="1"/>
  <c r="X91" i="11"/>
  <c r="X90" i="11" s="1"/>
  <c r="X88" i="11"/>
  <c r="X87" i="11"/>
  <c r="X86" i="11"/>
  <c r="X85" i="11"/>
  <c r="X84" i="11"/>
  <c r="X83" i="11"/>
  <c r="X74" i="11"/>
  <c r="X73" i="11" s="1"/>
  <c r="X71" i="11"/>
  <c r="X70" i="11" s="1"/>
  <c r="X69" i="11" s="1"/>
  <c r="X68" i="11"/>
  <c r="X67" i="11" s="1"/>
  <c r="X66" i="11"/>
  <c r="X65" i="11" s="1"/>
  <c r="X64" i="11"/>
  <c r="X63" i="11" s="1"/>
  <c r="X61" i="11"/>
  <c r="X60" i="11" s="1"/>
  <c r="X44" i="11"/>
  <c r="X37" i="11"/>
  <c r="X36" i="11" s="1"/>
  <c r="X35" i="11"/>
  <c r="X34" i="11" s="1"/>
  <c r="X31" i="11"/>
  <c r="X30" i="11" s="1"/>
  <c r="X41" i="11"/>
  <c r="X40" i="11"/>
  <c r="X39" i="11"/>
  <c r="V17" i="11"/>
  <c r="R321" i="11"/>
  <c r="AA321" i="11" s="1"/>
  <c r="X12" i="11" l="1"/>
  <c r="V195" i="11"/>
  <c r="V194" i="11" s="1"/>
  <c r="X99" i="11"/>
  <c r="X96" i="11" s="1"/>
  <c r="X17" i="11"/>
  <c r="X16" i="11" s="1"/>
  <c r="X15" i="11" s="1"/>
  <c r="V16" i="11"/>
  <c r="V15" i="11" s="1"/>
  <c r="V10" i="11" s="1"/>
  <c r="V9" i="11" s="1"/>
  <c r="V8" i="11" s="1"/>
  <c r="X62" i="11"/>
  <c r="X181" i="11"/>
  <c r="X114" i="11"/>
  <c r="X113" i="11" s="1"/>
  <c r="X251" i="11"/>
  <c r="X270" i="11"/>
  <c r="X276" i="11"/>
  <c r="X82" i="11"/>
  <c r="X81" i="11" s="1"/>
  <c r="X89" i="11"/>
  <c r="X38" i="11"/>
  <c r="X100" i="11"/>
  <c r="X33" i="11"/>
  <c r="X11" i="11"/>
  <c r="X29" i="11"/>
  <c r="X28" i="11" s="1"/>
  <c r="X168" i="11"/>
  <c r="R267" i="11"/>
  <c r="AA267" i="11" s="1"/>
  <c r="R199" i="11"/>
  <c r="AA199" i="11" s="1"/>
  <c r="R197" i="11"/>
  <c r="AA197" i="11" s="1"/>
  <c r="X10" i="11" l="1"/>
  <c r="X95" i="11"/>
  <c r="R324" i="11"/>
  <c r="AA324" i="11" s="1"/>
  <c r="R264" i="11"/>
  <c r="AA264" i="11" s="1"/>
  <c r="R323" i="11"/>
  <c r="AA323" i="11" s="1"/>
  <c r="R322" i="11" l="1"/>
  <c r="AA322" i="11" s="1"/>
  <c r="R168" i="11"/>
  <c r="AA168" i="11" s="1"/>
  <c r="R141" i="11"/>
  <c r="AA141" i="11" s="1"/>
  <c r="R99" i="11" l="1"/>
  <c r="AA99" i="11" s="1"/>
  <c r="R183" i="11"/>
  <c r="AA183" i="11" s="1"/>
  <c r="R14" i="11"/>
  <c r="AA14" i="11" s="1"/>
  <c r="R280" i="11"/>
  <c r="AA280" i="11" s="1"/>
  <c r="R282" i="11"/>
  <c r="AA282" i="11" s="1"/>
  <c r="R266" i="11" l="1"/>
  <c r="AA266" i="11" s="1"/>
  <c r="R313" i="11"/>
  <c r="AA313" i="11" s="1"/>
  <c r="R263" i="11"/>
  <c r="R207" i="11"/>
  <c r="R201" i="11"/>
  <c r="X310" i="11"/>
  <c r="Z263" i="11"/>
  <c r="X263" i="11" s="1"/>
  <c r="AA263" i="11" l="1"/>
  <c r="R198" i="11"/>
  <c r="AA201" i="11"/>
  <c r="Z42" i="11"/>
  <c r="Z32" i="11" s="1"/>
  <c r="Z27" i="11" s="1"/>
  <c r="Z26" i="11" s="1"/>
  <c r="Z7" i="11" s="1"/>
  <c r="AA43" i="11"/>
  <c r="R203" i="11"/>
  <c r="AA207" i="11"/>
  <c r="V239" i="11"/>
  <c r="V238" i="11" s="1"/>
  <c r="V237" i="11" s="1"/>
  <c r="V230" i="11" s="1"/>
  <c r="V229" i="11" s="1"/>
  <c r="V217" i="11"/>
  <c r="V216" i="11" s="1"/>
  <c r="V215" i="11" s="1"/>
  <c r="R17" i="11"/>
  <c r="AA17" i="11" s="1"/>
  <c r="AA198" i="11" l="1"/>
  <c r="W198" i="11"/>
  <c r="AA203" i="11"/>
  <c r="W203" i="11"/>
  <c r="R133" i="11"/>
  <c r="AA133" i="11" s="1"/>
  <c r="R137" i="11"/>
  <c r="AA137" i="11" s="1"/>
  <c r="X23" i="11" l="1"/>
  <c r="R77" i="11"/>
  <c r="AA77" i="11" s="1"/>
  <c r="X22" i="11" l="1"/>
  <c r="X21" i="11" s="1"/>
  <c r="X20" i="11" s="1"/>
  <c r="X19" i="11" s="1"/>
  <c r="X18" i="11" s="1"/>
  <c r="X9" i="11" s="1"/>
  <c r="X8" i="11" s="1"/>
  <c r="R242" i="11"/>
  <c r="R251" i="11"/>
  <c r="AA242" i="11" l="1"/>
  <c r="W242" i="11"/>
  <c r="AA251" i="11"/>
  <c r="W251" i="11"/>
  <c r="V77" i="11"/>
  <c r="R217" i="11"/>
  <c r="AA217" i="11" s="1"/>
  <c r="X77" i="11" l="1"/>
  <c r="X76" i="11" s="1"/>
  <c r="X75" i="11" s="1"/>
  <c r="V76" i="11"/>
  <c r="V75" i="11" s="1"/>
  <c r="R303" i="11"/>
  <c r="AA303" i="11" s="1"/>
  <c r="R73" i="11"/>
  <c r="AA73" i="11" l="1"/>
  <c r="W73" i="11"/>
  <c r="R130" i="11"/>
  <c r="AA130" i="11" s="1"/>
  <c r="Z304" i="11" l="1"/>
  <c r="AA304" i="11" s="1"/>
  <c r="Z307" i="11"/>
  <c r="AA307" i="11" s="1"/>
  <c r="V406" i="11"/>
  <c r="X406" i="11" s="1"/>
  <c r="X412" i="11"/>
  <c r="X411" i="11"/>
  <c r="X410" i="11"/>
  <c r="X409" i="11"/>
  <c r="X407" i="11"/>
  <c r="X404" i="11"/>
  <c r="X403" i="11"/>
  <c r="X402" i="11"/>
  <c r="X401" i="11"/>
  <c r="X400" i="11"/>
  <c r="X394" i="11"/>
  <c r="X393" i="11"/>
  <c r="X392" i="11"/>
  <c r="X391" i="11"/>
  <c r="X390" i="11"/>
  <c r="X388" i="11"/>
  <c r="X386" i="11"/>
  <c r="X382" i="11"/>
  <c r="X381" i="11"/>
  <c r="X380" i="11"/>
  <c r="X379" i="11"/>
  <c r="X378" i="11"/>
  <c r="X377" i="11"/>
  <c r="X376" i="11"/>
  <c r="X375" i="11"/>
  <c r="X374" i="11"/>
  <c r="X373" i="11"/>
  <c r="X372" i="11"/>
  <c r="X371" i="11"/>
  <c r="X370" i="11"/>
  <c r="X369" i="11"/>
  <c r="Z302" i="11" l="1"/>
  <c r="Z301" i="11" s="1"/>
  <c r="Z300" i="11" s="1"/>
  <c r="Z299" i="11" s="1"/>
  <c r="X405" i="11"/>
  <c r="X350" i="11" l="1"/>
  <c r="X349" i="11" s="1"/>
  <c r="X352" i="11"/>
  <c r="X351" i="11" s="1"/>
  <c r="X348" i="11"/>
  <c r="X347" i="11" s="1"/>
  <c r="X339" i="11"/>
  <c r="X338" i="11" s="1"/>
  <c r="X335" i="11"/>
  <c r="X334" i="11" s="1"/>
  <c r="X333" i="11" s="1"/>
  <c r="X332" i="11" s="1"/>
  <c r="X331" i="11"/>
  <c r="X330" i="11"/>
  <c r="X326" i="11"/>
  <c r="X325" i="11"/>
  <c r="X323" i="11"/>
  <c r="X321" i="11"/>
  <c r="X320" i="11"/>
  <c r="X319" i="11"/>
  <c r="X317" i="11"/>
  <c r="X315" i="11"/>
  <c r="X313" i="11"/>
  <c r="X346" i="11" l="1"/>
  <c r="X345" i="11" s="1"/>
  <c r="X344" i="11" s="1"/>
  <c r="X329" i="11"/>
  <c r="X328" i="11" s="1"/>
  <c r="X327" i="11" s="1"/>
  <c r="X312" i="11"/>
  <c r="X309" i="11"/>
  <c r="X308" i="11"/>
  <c r="X307" i="11"/>
  <c r="X306" i="11"/>
  <c r="X305" i="11"/>
  <c r="X304" i="11"/>
  <c r="X303" i="11"/>
  <c r="X294" i="11"/>
  <c r="X293" i="11" s="1"/>
  <c r="X292" i="11" s="1"/>
  <c r="X291" i="11"/>
  <c r="X290" i="11" s="1"/>
  <c r="X286" i="11"/>
  <c r="X285" i="11" s="1"/>
  <c r="X284" i="11" s="1"/>
  <c r="X283" i="11" s="1"/>
  <c r="X255" i="11"/>
  <c r="X254" i="11" s="1"/>
  <c r="X250" i="11" s="1"/>
  <c r="X249" i="11"/>
  <c r="X248" i="11" s="1"/>
  <c r="X247" i="11" s="1"/>
  <c r="X246" i="11"/>
  <c r="X245" i="11" s="1"/>
  <c r="X244" i="11"/>
  <c r="X243" i="11"/>
  <c r="X240" i="11"/>
  <c r="X239" i="11"/>
  <c r="X236" i="11"/>
  <c r="X235" i="11" s="1"/>
  <c r="X234" i="11" s="1"/>
  <c r="X233" i="11"/>
  <c r="X232" i="11" s="1"/>
  <c r="X231" i="11" s="1"/>
  <c r="X224" i="11"/>
  <c r="X223" i="11" s="1"/>
  <c r="X222" i="11" s="1"/>
  <c r="X221" i="11"/>
  <c r="X213" i="11"/>
  <c r="X217" i="11"/>
  <c r="X216" i="11" s="1"/>
  <c r="X215" i="11" s="1"/>
  <c r="X209" i="11"/>
  <c r="X207" i="11"/>
  <c r="X206" i="11"/>
  <c r="X205" i="11"/>
  <c r="X204" i="11"/>
  <c r="X201" i="11"/>
  <c r="X200" i="11"/>
  <c r="X199" i="11"/>
  <c r="X197" i="11"/>
  <c r="X196" i="11" s="1"/>
  <c r="X193" i="11"/>
  <c r="X192" i="11" s="1"/>
  <c r="X191" i="11" s="1"/>
  <c r="X188" i="11" s="1"/>
  <c r="X179" i="11"/>
  <c r="X178" i="11"/>
  <c r="X177" i="11"/>
  <c r="X176" i="11"/>
  <c r="X175" i="11"/>
  <c r="X174" i="11"/>
  <c r="X173" i="11"/>
  <c r="X172" i="11"/>
  <c r="X170" i="11"/>
  <c r="X169" i="11" s="1"/>
  <c r="X59" i="11"/>
  <c r="X58" i="11" s="1"/>
  <c r="X57" i="11" s="1"/>
  <c r="X56" i="11"/>
  <c r="X55" i="11" s="1"/>
  <c r="X52" i="11" s="1"/>
  <c r="X43" i="11"/>
  <c r="X42" i="11" s="1"/>
  <c r="X32" i="11" s="1"/>
  <c r="X49" i="11"/>
  <c r="X47" i="11" s="1"/>
  <c r="X238" i="11" l="1"/>
  <c r="X237" i="11" s="1"/>
  <c r="X289" i="11"/>
  <c r="X288" i="11" s="1"/>
  <c r="X203" i="11"/>
  <c r="X171" i="11"/>
  <c r="X180" i="11"/>
  <c r="X198" i="11"/>
  <c r="X242" i="11"/>
  <c r="X241" i="11" s="1"/>
  <c r="X302" i="11"/>
  <c r="X301" i="11" s="1"/>
  <c r="X300" i="11" s="1"/>
  <c r="X220" i="11"/>
  <c r="X219" i="11" s="1"/>
  <c r="X218" i="11" s="1"/>
  <c r="V214" i="11"/>
  <c r="X214" i="11" l="1"/>
  <c r="X212" i="11" s="1"/>
  <c r="X211" i="11" s="1"/>
  <c r="X210" i="11" s="1"/>
  <c r="V212" i="11"/>
  <c r="V211" i="11" s="1"/>
  <c r="V210" i="11" s="1"/>
  <c r="X195" i="11"/>
  <c r="X194" i="11" s="1"/>
  <c r="X230" i="11"/>
  <c r="X229" i="11" s="1"/>
  <c r="V142" i="11"/>
  <c r="X142" i="11" s="1"/>
  <c r="V149" i="11"/>
  <c r="X149" i="11" s="1"/>
  <c r="V145" i="11"/>
  <c r="X145" i="11" s="1"/>
  <c r="V128" i="11"/>
  <c r="X128" i="11" s="1"/>
  <c r="V132" i="11"/>
  <c r="X132" i="11" s="1"/>
  <c r="V80" i="11"/>
  <c r="V130" i="11"/>
  <c r="X130" i="11" s="1"/>
  <c r="R93" i="11"/>
  <c r="AA93" i="11" s="1"/>
  <c r="R85" i="11"/>
  <c r="AA85" i="11" s="1"/>
  <c r="R142" i="11"/>
  <c r="AA142" i="11" s="1"/>
  <c r="R149" i="11"/>
  <c r="AA149" i="11" s="1"/>
  <c r="R145" i="11"/>
  <c r="AA145" i="11" s="1"/>
  <c r="R128" i="11"/>
  <c r="AA128" i="11" s="1"/>
  <c r="R132" i="11"/>
  <c r="AA132" i="11" s="1"/>
  <c r="R115" i="11"/>
  <c r="AA115" i="11" s="1"/>
  <c r="R80" i="11"/>
  <c r="AA80" i="11" s="1"/>
  <c r="R131" i="11"/>
  <c r="AA131" i="11" s="1"/>
  <c r="R25" i="11"/>
  <c r="AA25" i="11" s="1"/>
  <c r="R24" i="11"/>
  <c r="AA24" i="11" s="1"/>
  <c r="R23" i="11"/>
  <c r="AA23" i="11" s="1"/>
  <c r="R86" i="11"/>
  <c r="AA86" i="11" s="1"/>
  <c r="X80" i="11" l="1"/>
  <c r="X79" i="11" s="1"/>
  <c r="X78" i="11" s="1"/>
  <c r="X72" i="11" s="1"/>
  <c r="V79" i="11"/>
  <c r="V78" i="11" s="1"/>
  <c r="V72" i="11" s="1"/>
  <c r="V27" i="11" s="1"/>
  <c r="R22" i="11"/>
  <c r="V147" i="11"/>
  <c r="X147" i="11" s="1"/>
  <c r="AA22" i="11" l="1"/>
  <c r="W22" i="11"/>
  <c r="Z260" i="11"/>
  <c r="AA260" i="11" s="1"/>
  <c r="X341" i="11"/>
  <c r="X340" i="11" s="1"/>
  <c r="X337" i="11" s="1"/>
  <c r="X336" i="11" s="1"/>
  <c r="V226" i="11"/>
  <c r="X226" i="11" l="1"/>
  <c r="X225" i="11" s="1"/>
  <c r="V225" i="11"/>
  <c r="X260" i="11"/>
  <c r="X259" i="11" s="1"/>
  <c r="X258" i="11" s="1"/>
  <c r="X257" i="11" s="1"/>
  <c r="Z259" i="11"/>
  <c r="Z258" i="11" s="1"/>
  <c r="Z257" i="11" s="1"/>
  <c r="Z256" i="11" s="1"/>
  <c r="Z228" i="11" s="1"/>
  <c r="Z227" i="11" s="1"/>
  <c r="X298" i="11"/>
  <c r="X297" i="11" s="1"/>
  <c r="X296" i="11" s="1"/>
  <c r="X295" i="11" s="1"/>
  <c r="X287" i="11" s="1"/>
  <c r="R255" i="11" l="1"/>
  <c r="R254" i="11" l="1"/>
  <c r="AA255" i="11"/>
  <c r="R355" i="11"/>
  <c r="AA343" i="11"/>
  <c r="Z399" i="11"/>
  <c r="Z398" i="11" s="1"/>
  <c r="Z397" i="11" s="1"/>
  <c r="Z396" i="11" s="1"/>
  <c r="Z395" i="11" s="1"/>
  <c r="Z364" i="11" s="1"/>
  <c r="Z363" i="11" s="1"/>
  <c r="Z362" i="11" s="1"/>
  <c r="X51" i="11"/>
  <c r="X50" i="11" s="1"/>
  <c r="X46" i="11" s="1"/>
  <c r="X45" i="11" s="1"/>
  <c r="X27" i="11" s="1"/>
  <c r="AA254" i="11" l="1"/>
  <c r="W254" i="11"/>
  <c r="R135" i="11"/>
  <c r="AA135" i="11" s="1"/>
  <c r="R134" i="11"/>
  <c r="AA134" i="11" s="1"/>
  <c r="R148" i="11"/>
  <c r="AA148" i="11" s="1"/>
  <c r="R147" i="11"/>
  <c r="AA147" i="11" s="1"/>
  <c r="R293" i="11" l="1"/>
  <c r="W293" i="11" s="1"/>
  <c r="R292" i="11" l="1"/>
  <c r="AA293" i="11"/>
  <c r="R174" i="11"/>
  <c r="AA174" i="11" s="1"/>
  <c r="R126" i="11"/>
  <c r="AA126" i="11" s="1"/>
  <c r="V126" i="11"/>
  <c r="AA292" i="11" l="1"/>
  <c r="W292" i="11"/>
  <c r="X126" i="11"/>
  <c r="X123" i="11" s="1"/>
  <c r="X122" i="11" s="1"/>
  <c r="X121" i="11" s="1"/>
  <c r="X112" i="11" s="1"/>
  <c r="X94" i="11" s="1"/>
  <c r="X26" i="11" s="1"/>
  <c r="X7" i="11" s="1"/>
  <c r="V123" i="11"/>
  <c r="V122" i="11" s="1"/>
  <c r="V121" i="11" s="1"/>
  <c r="V112" i="11" s="1"/>
  <c r="V94" i="11" l="1"/>
  <c r="V26" i="11" s="1"/>
  <c r="R394" i="11"/>
  <c r="V389" i="11"/>
  <c r="X389" i="11" s="1"/>
  <c r="R389" i="11"/>
  <c r="V387" i="11"/>
  <c r="X387" i="11" s="1"/>
  <c r="R387" i="11"/>
  <c r="V385" i="11"/>
  <c r="R385" i="11"/>
  <c r="R378" i="11"/>
  <c r="R372" i="11"/>
  <c r="R371" i="11"/>
  <c r="R370" i="11"/>
  <c r="R369" i="11"/>
  <c r="R358" i="11"/>
  <c r="R360" i="11"/>
  <c r="AA358" i="11" l="1"/>
  <c r="W358" i="11"/>
  <c r="AA360" i="11"/>
  <c r="W360" i="11"/>
  <c r="V7" i="11"/>
  <c r="AA374" i="11"/>
  <c r="AB374" i="11"/>
  <c r="AA372" i="11"/>
  <c r="AB372" i="11"/>
  <c r="AA371" i="11"/>
  <c r="AB371" i="11"/>
  <c r="AA378" i="11"/>
  <c r="AB378" i="11"/>
  <c r="AA387" i="11"/>
  <c r="AB387" i="11"/>
  <c r="AA389" i="11"/>
  <c r="AB389" i="11"/>
  <c r="AA373" i="11"/>
  <c r="AB373" i="11"/>
  <c r="AA385" i="11"/>
  <c r="AB385" i="11"/>
  <c r="AA369" i="11"/>
  <c r="AA370" i="11"/>
  <c r="AA394" i="11"/>
  <c r="X385" i="11"/>
  <c r="X368" i="11" s="1"/>
  <c r="X367" i="11" s="1"/>
  <c r="X366" i="11" s="1"/>
  <c r="X365" i="11" s="1"/>
  <c r="V368" i="11"/>
  <c r="R368" i="11"/>
  <c r="R357" i="11"/>
  <c r="R356" i="11" l="1"/>
  <c r="W357" i="11"/>
  <c r="V367" i="11"/>
  <c r="W368" i="11"/>
  <c r="R367" i="11"/>
  <c r="AA368" i="11"/>
  <c r="R172" i="11"/>
  <c r="AA172" i="11" s="1"/>
  <c r="AA356" i="11" l="1"/>
  <c r="W356" i="11"/>
  <c r="V366" i="11"/>
  <c r="W367" i="11"/>
  <c r="R366" i="11"/>
  <c r="AA367" i="11"/>
  <c r="R178" i="11"/>
  <c r="AA178" i="11" s="1"/>
  <c r="R176" i="11"/>
  <c r="AA176" i="11" s="1"/>
  <c r="R164" i="11"/>
  <c r="AA164" i="11" s="1"/>
  <c r="R160" i="11"/>
  <c r="AA160" i="11" s="1"/>
  <c r="R158" i="11"/>
  <c r="AA158" i="11" s="1"/>
  <c r="R156" i="11"/>
  <c r="AA156" i="11" s="1"/>
  <c r="R154" i="11"/>
  <c r="AA154" i="11" s="1"/>
  <c r="R136" i="11"/>
  <c r="AA136" i="11" s="1"/>
  <c r="R117" i="11"/>
  <c r="AA117" i="11" s="1"/>
  <c r="V365" i="11" l="1"/>
  <c r="W366" i="11"/>
  <c r="R365" i="11"/>
  <c r="AA365" i="11" s="1"/>
  <c r="AA366" i="11"/>
  <c r="R171" i="11"/>
  <c r="R305" i="11"/>
  <c r="AA305" i="11" s="1"/>
  <c r="R405" i="11"/>
  <c r="AA171" i="11" l="1"/>
  <c r="W171" i="11"/>
  <c r="W365" i="11"/>
  <c r="AA406" i="11"/>
  <c r="AA405" i="11"/>
  <c r="R302" i="11"/>
  <c r="V418" i="11"/>
  <c r="AA302" i="11" l="1"/>
  <c r="W302" i="11"/>
  <c r="R150" i="11"/>
  <c r="AA150" i="11" s="1"/>
  <c r="R340" i="11" l="1"/>
  <c r="R226" i="11"/>
  <c r="AA226" i="11" s="1"/>
  <c r="R214" i="11"/>
  <c r="AA214" i="11" s="1"/>
  <c r="AA340" i="11" l="1"/>
  <c r="W340" i="11"/>
  <c r="R342" i="11"/>
  <c r="AA342" i="11" l="1"/>
  <c r="W342" i="11"/>
  <c r="V408" i="11"/>
  <c r="X408" i="11" s="1"/>
  <c r="V399" i="11"/>
  <c r="V318" i="11"/>
  <c r="X399" i="11" l="1"/>
  <c r="X398" i="11" s="1"/>
  <c r="V398" i="11"/>
  <c r="X318" i="11"/>
  <c r="X316" i="11" s="1"/>
  <c r="X311" i="11" s="1"/>
  <c r="X299" i="11" s="1"/>
  <c r="X256" i="11" s="1"/>
  <c r="X228" i="11" s="1"/>
  <c r="X227" i="11" s="1"/>
  <c r="V316" i="11"/>
  <c r="V311" i="11" s="1"/>
  <c r="V299" i="11" s="1"/>
  <c r="V256" i="11" s="1"/>
  <c r="V228" i="11" s="1"/>
  <c r="V227" i="11" s="1"/>
  <c r="R47" i="11"/>
  <c r="R399" i="11"/>
  <c r="AA47" i="11" l="1"/>
  <c r="W47" i="11"/>
  <c r="V397" i="11"/>
  <c r="AA399" i="11"/>
  <c r="AA409" i="11"/>
  <c r="AA411" i="11"/>
  <c r="X397" i="11"/>
  <c r="X396" i="11" s="1"/>
  <c r="X395" i="11" s="1"/>
  <c r="X364" i="11" s="1"/>
  <c r="X363" i="11" s="1"/>
  <c r="X362" i="11" s="1"/>
  <c r="R87" i="11"/>
  <c r="AA87" i="11" s="1"/>
  <c r="R320" i="11"/>
  <c r="AA320" i="11" s="1"/>
  <c r="R312" i="11"/>
  <c r="R286" i="11"/>
  <c r="AA286" i="11" s="1"/>
  <c r="R153" i="11"/>
  <c r="AA153" i="11" s="1"/>
  <c r="R152" i="11"/>
  <c r="AA152" i="11" s="1"/>
  <c r="R125" i="11"/>
  <c r="AA125" i="11" s="1"/>
  <c r="AA312" i="11" l="1"/>
  <c r="W312" i="11"/>
  <c r="V396" i="11"/>
  <c r="R119" i="11"/>
  <c r="AA119" i="11" s="1"/>
  <c r="R129" i="11"/>
  <c r="AA129" i="11" s="1"/>
  <c r="R186" i="11"/>
  <c r="AA186" i="11" s="1"/>
  <c r="R325" i="11"/>
  <c r="AA325" i="11" s="1"/>
  <c r="V395" i="11" l="1"/>
  <c r="R114" i="11"/>
  <c r="R335" i="11"/>
  <c r="AA335" i="11" s="1"/>
  <c r="R331" i="11"/>
  <c r="AA331" i="11" s="1"/>
  <c r="R318" i="11"/>
  <c r="AA318" i="11" s="1"/>
  <c r="R319" i="11"/>
  <c r="AA319" i="11" s="1"/>
  <c r="R317" i="11"/>
  <c r="AA317" i="11" s="1"/>
  <c r="R402" i="11"/>
  <c r="R408" i="11"/>
  <c r="R401" i="11"/>
  <c r="R400" i="11"/>
  <c r="AA114" i="11" l="1"/>
  <c r="W114" i="11"/>
  <c r="V364" i="11"/>
  <c r="V363" i="11" s="1"/>
  <c r="V362" i="11" s="1"/>
  <c r="AA408" i="11"/>
  <c r="AA401" i="11"/>
  <c r="AA402" i="11"/>
  <c r="AA400" i="11"/>
  <c r="R398" i="11"/>
  <c r="R316" i="11"/>
  <c r="R261" i="11"/>
  <c r="AA261" i="11" s="1"/>
  <c r="AA316" i="11" l="1"/>
  <c r="W316" i="11"/>
  <c r="AA398" i="11"/>
  <c r="W398" i="11"/>
  <c r="R397" i="11"/>
  <c r="W397" i="11" s="1"/>
  <c r="R238" i="11"/>
  <c r="R235" i="11"/>
  <c r="R232" i="11"/>
  <c r="R219" i="11"/>
  <c r="R181" i="11"/>
  <c r="R100" i="11"/>
  <c r="AA397" i="11" l="1"/>
  <c r="R396" i="11"/>
  <c r="W396" i="11" s="1"/>
  <c r="AA181" i="11"/>
  <c r="W181" i="11"/>
  <c r="AA238" i="11"/>
  <c r="W238" i="11"/>
  <c r="AA219" i="11"/>
  <c r="W219" i="11"/>
  <c r="AA232" i="11"/>
  <c r="W232" i="11"/>
  <c r="AA100" i="11"/>
  <c r="W100" i="11"/>
  <c r="AA235" i="11"/>
  <c r="W235" i="11"/>
  <c r="R237" i="11"/>
  <c r="R234" i="11"/>
  <c r="M352" i="11"/>
  <c r="M350" i="11"/>
  <c r="M348" i="11"/>
  <c r="AA396" i="11" l="1"/>
  <c r="R395" i="11"/>
  <c r="AA395" i="11" s="1"/>
  <c r="AA237" i="11"/>
  <c r="W237" i="11"/>
  <c r="AA234" i="11"/>
  <c r="W234" i="11"/>
  <c r="W395" i="11"/>
  <c r="E3" i="12"/>
  <c r="F3" i="12" s="1"/>
  <c r="E4" i="12"/>
  <c r="F4" i="12" s="1"/>
  <c r="E5" i="12"/>
  <c r="F5" i="12" s="1"/>
  <c r="E6" i="12"/>
  <c r="F6" i="12" s="1"/>
  <c r="E7" i="12"/>
  <c r="F7" i="12" s="1"/>
  <c r="E8" i="12"/>
  <c r="F8" i="12" s="1"/>
  <c r="E9" i="12"/>
  <c r="F9" i="12" s="1"/>
  <c r="E10" i="12"/>
  <c r="F10" i="12" s="1"/>
  <c r="E11" i="12"/>
  <c r="F11" i="12" s="1"/>
  <c r="R259" i="11" l="1"/>
  <c r="R276" i="11"/>
  <c r="AA276" i="11" l="1"/>
  <c r="W276" i="11"/>
  <c r="AA259" i="11"/>
  <c r="W259" i="11"/>
  <c r="R248" i="11"/>
  <c r="AA248" i="11" l="1"/>
  <c r="W248" i="11"/>
  <c r="R334" i="11"/>
  <c r="R364" i="11"/>
  <c r="R353" i="11"/>
  <c r="R351" i="11"/>
  <c r="R349" i="11"/>
  <c r="R347" i="11"/>
  <c r="R338" i="11"/>
  <c r="R329" i="11"/>
  <c r="R297" i="11"/>
  <c r="R290" i="11"/>
  <c r="W290" i="11" s="1"/>
  <c r="R285" i="11"/>
  <c r="R270" i="11"/>
  <c r="R247" i="11"/>
  <c r="R245" i="11"/>
  <c r="R231" i="11"/>
  <c r="R218" i="11"/>
  <c r="R216" i="11"/>
  <c r="R212" i="11"/>
  <c r="R196" i="11"/>
  <c r="W196" i="11" s="1"/>
  <c r="R185" i="11"/>
  <c r="R110" i="11"/>
  <c r="R96" i="11"/>
  <c r="R92" i="11"/>
  <c r="R90" i="11"/>
  <c r="R79" i="11"/>
  <c r="R70" i="11"/>
  <c r="R67" i="11"/>
  <c r="R65" i="11"/>
  <c r="R63" i="11"/>
  <c r="R60" i="11"/>
  <c r="R58" i="11"/>
  <c r="R55" i="11"/>
  <c r="R53" i="11"/>
  <c r="R50" i="11"/>
  <c r="W50" i="11" s="1"/>
  <c r="R36" i="11"/>
  <c r="R34" i="11"/>
  <c r="R30" i="11"/>
  <c r="AA70" i="11" l="1"/>
  <c r="W70" i="11"/>
  <c r="AA212" i="11"/>
  <c r="W212" i="11"/>
  <c r="AA53" i="11"/>
  <c r="W53" i="11"/>
  <c r="AA63" i="11"/>
  <c r="W63" i="11"/>
  <c r="AA110" i="11"/>
  <c r="W110" i="11"/>
  <c r="AA297" i="11"/>
  <c r="W297" i="11"/>
  <c r="AA349" i="11"/>
  <c r="W349" i="11"/>
  <c r="AA34" i="11"/>
  <c r="W34" i="11"/>
  <c r="AA55" i="11"/>
  <c r="W55" i="11"/>
  <c r="AA65" i="11"/>
  <c r="W65" i="11"/>
  <c r="AA90" i="11"/>
  <c r="W90" i="11"/>
  <c r="AA185" i="11"/>
  <c r="W185" i="11"/>
  <c r="AA218" i="11"/>
  <c r="W218" i="11"/>
  <c r="AA270" i="11"/>
  <c r="W270" i="11"/>
  <c r="AA329" i="11"/>
  <c r="W329" i="11"/>
  <c r="AA351" i="11"/>
  <c r="W351" i="11"/>
  <c r="AA60" i="11"/>
  <c r="W60" i="11"/>
  <c r="AA96" i="11"/>
  <c r="W96" i="11"/>
  <c r="AA245" i="11"/>
  <c r="W245" i="11"/>
  <c r="AA30" i="11"/>
  <c r="W30" i="11"/>
  <c r="AA79" i="11"/>
  <c r="W79" i="11"/>
  <c r="AA216" i="11"/>
  <c r="W216" i="11"/>
  <c r="AA247" i="11"/>
  <c r="W247" i="11"/>
  <c r="AA334" i="11"/>
  <c r="W334" i="11"/>
  <c r="AA36" i="11"/>
  <c r="W36" i="11"/>
  <c r="AA58" i="11"/>
  <c r="W58" i="11"/>
  <c r="AA67" i="11"/>
  <c r="W67" i="11"/>
  <c r="AA92" i="11"/>
  <c r="W92" i="11"/>
  <c r="AA231" i="11"/>
  <c r="W231" i="11"/>
  <c r="AA285" i="11"/>
  <c r="W285" i="11"/>
  <c r="AA338" i="11"/>
  <c r="W338" i="11"/>
  <c r="AA353" i="11"/>
  <c r="W353" i="11"/>
  <c r="AA364" i="11"/>
  <c r="W364" i="11"/>
  <c r="AA347" i="11"/>
  <c r="W347" i="11"/>
  <c r="R195" i="11"/>
  <c r="AA196" i="11"/>
  <c r="R289" i="11"/>
  <c r="W289" i="11" s="1"/>
  <c r="AA290" i="11"/>
  <c r="R46" i="11"/>
  <c r="AA50" i="11"/>
  <c r="R337" i="11"/>
  <c r="R346" i="11"/>
  <c r="R211" i="11"/>
  <c r="R241" i="11"/>
  <c r="W241" i="11" s="1"/>
  <c r="R69" i="11"/>
  <c r="R284" i="11"/>
  <c r="R328" i="11"/>
  <c r="R29" i="11"/>
  <c r="R78" i="11"/>
  <c r="R109" i="11"/>
  <c r="R215" i="11"/>
  <c r="R296" i="11"/>
  <c r="R333" i="11"/>
  <c r="R33" i="11"/>
  <c r="R258" i="11"/>
  <c r="R180" i="11"/>
  <c r="W180" i="11" s="1"/>
  <c r="R52" i="11"/>
  <c r="R311" i="11"/>
  <c r="W311" i="11" s="1"/>
  <c r="R250" i="11"/>
  <c r="R57" i="11"/>
  <c r="AA33" i="11" l="1"/>
  <c r="W33" i="11"/>
  <c r="AA284" i="11"/>
  <c r="W284" i="11"/>
  <c r="AA333" i="11"/>
  <c r="W333" i="11"/>
  <c r="AA69" i="11"/>
  <c r="W69" i="11"/>
  <c r="AA57" i="11"/>
  <c r="W57" i="11"/>
  <c r="AA296" i="11"/>
  <c r="W296" i="11"/>
  <c r="AA29" i="11"/>
  <c r="W29" i="11"/>
  <c r="AA109" i="11"/>
  <c r="W109" i="11"/>
  <c r="AA52" i="11"/>
  <c r="W52" i="11"/>
  <c r="AA78" i="11"/>
  <c r="W78" i="11"/>
  <c r="AA337" i="11"/>
  <c r="W337" i="11"/>
  <c r="AA250" i="11"/>
  <c r="W250" i="11"/>
  <c r="AA258" i="11"/>
  <c r="W258" i="11"/>
  <c r="AA215" i="11"/>
  <c r="W215" i="11"/>
  <c r="AA328" i="11"/>
  <c r="W328" i="11"/>
  <c r="AA211" i="11"/>
  <c r="W211" i="11"/>
  <c r="AA46" i="11"/>
  <c r="W46" i="11"/>
  <c r="AA195" i="11"/>
  <c r="W195" i="11"/>
  <c r="AA346" i="11"/>
  <c r="W346" i="11"/>
  <c r="R288" i="11"/>
  <c r="AA289" i="11"/>
  <c r="R301" i="11"/>
  <c r="AA311" i="11"/>
  <c r="R230" i="11"/>
  <c r="AA241" i="11"/>
  <c r="R169" i="11"/>
  <c r="AA180" i="11"/>
  <c r="R345" i="11"/>
  <c r="R344" i="11" s="1"/>
  <c r="R336" i="11"/>
  <c r="R108" i="11"/>
  <c r="W108" i="11" s="1"/>
  <c r="R363" i="11"/>
  <c r="R332" i="11"/>
  <c r="R28" i="11"/>
  <c r="R327" i="11"/>
  <c r="R257" i="11"/>
  <c r="R295" i="11"/>
  <c r="W295" i="11" s="1"/>
  <c r="R283" i="11"/>
  <c r="R300" i="11"/>
  <c r="AA28" i="11" l="1"/>
  <c r="W28" i="11"/>
  <c r="AA332" i="11"/>
  <c r="W332" i="11"/>
  <c r="AA230" i="11"/>
  <c r="W230" i="11"/>
  <c r="AA288" i="11"/>
  <c r="W288" i="11"/>
  <c r="AA257" i="11"/>
  <c r="W257" i="11"/>
  <c r="AA283" i="11"/>
  <c r="W283" i="11"/>
  <c r="AA336" i="11"/>
  <c r="W336" i="11"/>
  <c r="AA300" i="11"/>
  <c r="W300" i="11"/>
  <c r="AA327" i="11"/>
  <c r="W327" i="11"/>
  <c r="AA169" i="11"/>
  <c r="W169" i="11"/>
  <c r="AA301" i="11"/>
  <c r="W301" i="11"/>
  <c r="AA363" i="11"/>
  <c r="W363" i="11"/>
  <c r="AA345" i="11"/>
  <c r="W345" i="11"/>
  <c r="R229" i="11"/>
  <c r="R107" i="11"/>
  <c r="AA108" i="11"/>
  <c r="R287" i="11"/>
  <c r="AA295" i="11"/>
  <c r="R299" i="11"/>
  <c r="R362" i="11"/>
  <c r="W362" i="11" s="1"/>
  <c r="AA229" i="11" l="1"/>
  <c r="W229" i="11"/>
  <c r="AA107" i="11"/>
  <c r="W107" i="11"/>
  <c r="AA287" i="11"/>
  <c r="W287" i="11"/>
  <c r="AA299" i="11"/>
  <c r="W299" i="11"/>
  <c r="AA344" i="11"/>
  <c r="W344" i="11"/>
  <c r="AA362" i="11"/>
  <c r="R106" i="11"/>
  <c r="R104" i="11"/>
  <c r="W104" i="11" s="1"/>
  <c r="R256" i="11"/>
  <c r="AA106" i="11" l="1"/>
  <c r="W106" i="11"/>
  <c r="AA256" i="11"/>
  <c r="W256" i="11"/>
  <c r="R103" i="11"/>
  <c r="W103" i="11" s="1"/>
  <c r="AA104" i="11"/>
  <c r="R228" i="11"/>
  <c r="W228" i="11" s="1"/>
  <c r="R227" i="11" l="1"/>
  <c r="AA228" i="11"/>
  <c r="R95" i="11"/>
  <c r="AA103" i="11"/>
  <c r="R225" i="11"/>
  <c r="W225" i="11" s="1"/>
  <c r="R89" i="11"/>
  <c r="W89" i="11" s="1"/>
  <c r="R76" i="11"/>
  <c r="W76" i="11" s="1"/>
  <c r="R62" i="11"/>
  <c r="W62" i="11" s="1"/>
  <c r="R42" i="11"/>
  <c r="W42" i="11" s="1"/>
  <c r="AA95" i="11" l="1"/>
  <c r="W95" i="11"/>
  <c r="AA227" i="11"/>
  <c r="W227" i="11"/>
  <c r="R75" i="11"/>
  <c r="AA76" i="11"/>
  <c r="R45" i="11"/>
  <c r="AA62" i="11"/>
  <c r="R82" i="11"/>
  <c r="W82" i="11" s="1"/>
  <c r="AA89" i="11"/>
  <c r="R38" i="11"/>
  <c r="AA42" i="11"/>
  <c r="R223" i="11"/>
  <c r="W223" i="11" s="1"/>
  <c r="AA225" i="11"/>
  <c r="R123" i="11"/>
  <c r="W123" i="11" s="1"/>
  <c r="AA38" i="11" l="1"/>
  <c r="W38" i="11"/>
  <c r="AA45" i="11"/>
  <c r="W45" i="11"/>
  <c r="AA75" i="11"/>
  <c r="W75" i="11"/>
  <c r="R32" i="11"/>
  <c r="R122" i="11"/>
  <c r="W122" i="11" s="1"/>
  <c r="AA123" i="11"/>
  <c r="R222" i="11"/>
  <c r="W222" i="11" s="1"/>
  <c r="AA223" i="11"/>
  <c r="R81" i="11"/>
  <c r="W81" i="11" s="1"/>
  <c r="AA82" i="11"/>
  <c r="R192" i="11"/>
  <c r="W192" i="11" s="1"/>
  <c r="R194" i="11"/>
  <c r="AA194" i="11" l="1"/>
  <c r="W194" i="11"/>
  <c r="AA32" i="11"/>
  <c r="W32" i="11"/>
  <c r="AA222" i="11"/>
  <c r="R210" i="11"/>
  <c r="R121" i="11"/>
  <c r="W121" i="11" s="1"/>
  <c r="AA122" i="11"/>
  <c r="R191" i="11"/>
  <c r="W191" i="11" s="1"/>
  <c r="AA192" i="11"/>
  <c r="AA81" i="11"/>
  <c r="R72" i="11"/>
  <c r="W72" i="11" s="1"/>
  <c r="R21" i="11"/>
  <c r="W21" i="11" s="1"/>
  <c r="AA210" i="11" l="1"/>
  <c r="W210" i="11"/>
  <c r="AA72" i="11"/>
  <c r="R27" i="11"/>
  <c r="R113" i="11"/>
  <c r="W113" i="11" s="1"/>
  <c r="AA121" i="11"/>
  <c r="R20" i="11"/>
  <c r="W20" i="11" s="1"/>
  <c r="AA21" i="11"/>
  <c r="R188" i="11"/>
  <c r="AA191" i="11"/>
  <c r="AA27" i="11" l="1"/>
  <c r="W27" i="11"/>
  <c r="AA188" i="11"/>
  <c r="W188" i="11"/>
  <c r="AA113" i="11"/>
  <c r="R112" i="11"/>
  <c r="W112" i="11" s="1"/>
  <c r="R19" i="11"/>
  <c r="W19" i="11" s="1"/>
  <c r="AA20" i="11"/>
  <c r="R18" i="11" l="1"/>
  <c r="W18" i="11" s="1"/>
  <c r="AA19" i="11"/>
  <c r="R94" i="11"/>
  <c r="W94" i="11" s="1"/>
  <c r="AA112" i="11"/>
  <c r="R26" i="11" l="1"/>
  <c r="AA94" i="11"/>
  <c r="R16" i="11"/>
  <c r="W16" i="11" s="1"/>
  <c r="AA18" i="11"/>
  <c r="AA26" i="11" l="1"/>
  <c r="W26" i="11"/>
  <c r="R15" i="11"/>
  <c r="W15" i="11" s="1"/>
  <c r="AA16" i="11"/>
  <c r="R12" i="11" l="1"/>
  <c r="W12" i="11" s="1"/>
  <c r="AA15" i="11"/>
  <c r="R11" i="11" l="1"/>
  <c r="W11" i="11" s="1"/>
  <c r="AA12" i="11"/>
  <c r="R10" i="11" l="1"/>
  <c r="W10" i="11" s="1"/>
  <c r="AA11" i="11"/>
  <c r="R9" i="11" l="1"/>
  <c r="W9" i="11" s="1"/>
  <c r="AA10" i="11"/>
  <c r="R8" i="11" l="1"/>
  <c r="W8" i="11" s="1"/>
  <c r="AA9" i="11"/>
  <c r="AA8" i="11" l="1"/>
  <c r="R7" i="11"/>
  <c r="AA7" i="11" l="1"/>
  <c r="W7" i="1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charset val="1"/>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<sst xmlns="http://schemas.openxmlformats.org/spreadsheetml/2006/main" count="169028" uniqueCount="113531">
  <si>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</si>
  <si>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</si>
  <si>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</si>
  <si>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</si>
  <si>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</si>
  <si>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</si>
  <si>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</si>
  <si>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</si>
  <si>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</si>
  <si>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</si>
  <si>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</si>
  <si>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</si>
  <si>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</si>
  <si>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</si>
  <si>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</si>
  <si>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</si>
  <si>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</si>
  <si>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</si>
  <si>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</si>
  <si>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</si>
  <si>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</si>
  <si>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</si>
  <si>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</si>
  <si>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</si>
  <si>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</si>
  <si>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</si>
  <si>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</si>
  <si>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</si>
  <si>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</si>
  <si>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</si>
  <si>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</si>
  <si>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</si>
  <si>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</si>
  <si>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</si>
  <si>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</si>
  <si>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</si>
  <si>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</si>
  <si>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</si>
  <si>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</si>
  <si>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</si>
  <si>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</si>
  <si>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</si>
  <si>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</si>
  <si>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</si>
  <si>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</si>
  <si>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</si>
  <si>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</si>
  <si>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</si>
  <si>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</si>
  <si>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</si>
  <si>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</si>
  <si>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</si>
  <si>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</si>
  <si>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</si>
  <si>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</si>
  <si>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</si>
  <si>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</si>
  <si>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</si>
  <si>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</si>
  <si>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</si>
  <si>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</si>
  <si>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</si>
  <si>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</si>
  <si>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</si>
  <si>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</si>
  <si>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</si>
  <si>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</si>
  <si>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</si>
  <si>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</si>
  <si>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</si>
  <si>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</si>
  <si>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</si>
  <si>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</si>
  <si>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</si>
  <si>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</si>
  <si>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</si>
  <si>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</si>
  <si>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</si>
  <si>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</si>
  <si>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</si>
  <si>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</si>
  <si>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</si>
  <si>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</si>
  <si>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</si>
  <si>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</si>
  <si>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</si>
  <si>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</si>
  <si>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</si>
  <si>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</si>
  <si>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</si>
  <si>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</si>
  <si>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</si>
  <si>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</si>
  <si>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</si>
  <si>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</si>
  <si>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</si>
  <si>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</si>
  <si>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</si>
  <si>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</si>
  <si>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</si>
  <si>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</si>
  <si>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</si>
  <si>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</si>
  <si>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</si>
  <si>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</si>
  <si>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</si>
  <si>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</si>
  <si>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</si>
  <si>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</si>
  <si>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</si>
  <si>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</si>
  <si>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</si>
  <si>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</si>
  <si>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</si>
  <si>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</si>
  <si>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</si>
  <si>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</si>
  <si>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</si>
  <si>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</si>
  <si>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</si>
  <si>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</si>
  <si>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</si>
  <si>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</si>
  <si>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</si>
  <si>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</si>
  <si>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</si>
  <si>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</si>
  <si>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</si>
  <si>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</si>
  <si>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</si>
  <si>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</si>
  <si>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</si>
  <si>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</si>
  <si>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</si>
  <si>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</si>
  <si>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</si>
  <si>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</si>
  <si>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</si>
  <si>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</si>
  <si>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</si>
  <si>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</si>
  <si>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</si>
  <si>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</si>
  <si>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</si>
  <si>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</si>
  <si>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</si>
  <si>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</si>
  <si>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</si>
  <si>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</si>
  <si>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</si>
  <si>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</si>
  <si>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</si>
  <si>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</si>
  <si>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</si>
  <si>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</si>
  <si>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</si>
  <si>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</si>
  <si>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</si>
  <si>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</si>
  <si>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</si>
  <si>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</si>
  <si>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</si>
  <si>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</si>
  <si>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</si>
  <si>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</si>
  <si>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</si>
  <si>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</si>
  <si>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</si>
  <si>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</si>
  <si>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</si>
  <si>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</si>
  <si>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</si>
  <si>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</si>
  <si>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</si>
  <si>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</si>
  <si>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</si>
  <si>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</si>
  <si>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</si>
  <si>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</si>
  <si>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</si>
  <si>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</si>
  <si>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</si>
  <si>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</si>
  <si>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</si>
  <si>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</si>
  <si>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</si>
  <si>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</si>
  <si>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</si>
  <si>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</si>
  <si>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</si>
  <si>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</si>
  <si>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</si>
  <si>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</si>
  <si>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</si>
  <si>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</si>
  <si>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</si>
  <si>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</si>
  <si>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</si>
  <si>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</si>
  <si>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</si>
  <si>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</si>
  <si>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</si>
  <si>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</si>
  <si>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</si>
  <si>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</si>
  <si>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</si>
  <si>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</si>
  <si>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</si>
  <si>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</si>
  <si>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</si>
  <si>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</si>
  <si>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</si>
  <si>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</si>
  <si>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</si>
  <si>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</si>
  <si>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</si>
  <si>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</si>
  <si>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</si>
  <si>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</si>
  <si>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</si>
  <si>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</si>
  <si>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</si>
  <si>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</si>
  <si>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</si>
  <si>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</si>
  <si>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</si>
  <si>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</si>
  <si>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</si>
  <si>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</si>
  <si>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</si>
  <si>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</si>
  <si>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</si>
  <si>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</si>
  <si>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</si>
  <si>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</si>
  <si>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</si>
  <si>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</si>
  <si>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</si>
  <si>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</si>
  <si>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</si>
  <si>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</si>
  <si>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</si>
  <si>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</si>
  <si>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</si>
  <si>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</si>
  <si>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</si>
  <si>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</si>
  <si>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</si>
  <si>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</si>
  <si>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</si>
  <si>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</si>
  <si>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</si>
  <si>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</si>
  <si>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</si>
  <si>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</si>
  <si>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</si>
  <si>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</si>
  <si>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</si>
  <si>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</si>
  <si>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</si>
  <si>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</si>
  <si>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</si>
  <si>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</si>
  <si>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</si>
  <si>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</si>
  <si>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</si>
  <si>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</si>
  <si>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</si>
  <si>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</si>
  <si>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</si>
  <si>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</si>
  <si>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</si>
  <si>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</si>
  <si>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</si>
  <si>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</si>
  <si>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</si>
  <si>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</si>
  <si>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</si>
  <si>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</si>
  <si>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</si>
  <si>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</si>
  <si>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</si>
  <si>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</si>
  <si>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</si>
  <si>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</si>
  <si>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</si>
  <si>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</si>
  <si>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</si>
  <si>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</si>
  <si>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</si>
  <si>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</si>
  <si>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</si>
  <si>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</si>
  <si>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</si>
  <si>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</si>
  <si>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</si>
  <si>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</si>
  <si>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</si>
  <si>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</si>
  <si>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</si>
  <si>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</si>
  <si>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</si>
  <si>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</si>
  <si>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</si>
  <si>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</si>
  <si>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</si>
  <si>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</si>
  <si>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</si>
  <si>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</si>
  <si>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</si>
  <si>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</si>
  <si>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</si>
  <si>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</si>
  <si>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</si>
  <si>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</si>
  <si>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</si>
  <si>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</si>
  <si>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</si>
  <si>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</si>
  <si>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</si>
  <si>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</si>
  <si>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</si>
  <si>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</si>
  <si>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</si>
  <si>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</si>
  <si>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</si>
  <si>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</si>
  <si>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</si>
  <si>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</si>
  <si>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</si>
  <si>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</si>
  <si>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</si>
  <si>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</si>
  <si>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</si>
  <si>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</si>
  <si>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</si>
  <si>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</si>
  <si>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</si>
  <si>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</si>
  <si>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</si>
  <si>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</si>
  <si>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</si>
  <si>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</si>
  <si>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</si>
  <si>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</si>
  <si>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</si>
  <si>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</si>
  <si>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</si>
  <si>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</si>
  <si>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</si>
  <si>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</si>
  <si>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</si>
  <si>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</si>
  <si>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</si>
  <si>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</si>
  <si>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</si>
  <si>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</si>
  <si>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</si>
  <si>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</si>
  <si>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</si>
  <si>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</si>
  <si>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</si>
  <si>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</si>
  <si>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</si>
  <si>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</si>
  <si>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</si>
  <si>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</si>
  <si>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</si>
  <si>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</si>
  <si>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</si>
  <si>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</si>
  <si>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</si>
  <si>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</si>
  <si>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</si>
  <si>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</si>
  <si>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</si>
  <si>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</si>
  <si>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</si>
  <si>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</si>
  <si>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</si>
  <si>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</si>
  <si>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</si>
  <si>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</si>
  <si>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</si>
  <si>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</si>
  <si>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</si>
  <si>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</si>
  <si>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</si>
  <si>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</si>
  <si>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</si>
  <si>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</si>
  <si>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</si>
  <si>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</si>
  <si>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</si>
  <si>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</si>
  <si>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</si>
  <si>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</si>
  <si>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</si>
  <si>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</si>
  <si>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</si>
  <si>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</si>
  <si>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</si>
  <si>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</si>
  <si>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</si>
  <si>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</si>
  <si>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</si>
  <si>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</si>
  <si>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</si>
  <si>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</si>
  <si>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</si>
  <si>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</si>
  <si>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</si>
  <si>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</si>
  <si>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</si>
  <si>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</si>
  <si>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</si>
  <si>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</si>
  <si>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</si>
  <si>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</si>
  <si>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</si>
  <si>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</si>
  <si>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</si>
  <si>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</si>
  <si>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</si>
  <si>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</si>
  <si>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</si>
  <si>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</si>
  <si>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</si>
  <si>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</si>
  <si>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</si>
  <si>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</si>
  <si>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</si>
  <si>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</si>
  <si>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</si>
  <si>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</si>
  <si>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</si>
  <si>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</si>
  <si>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</si>
  <si>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</si>
  <si>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</si>
  <si>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</si>
  <si>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</si>
  <si>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</si>
  <si>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</si>
  <si>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</si>
  <si>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</si>
  <si>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</si>
  <si>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</si>
  <si>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</si>
  <si>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</si>
  <si>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</si>
  <si>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</si>
  <si>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</si>
  <si>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</si>
  <si>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</si>
  <si>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</si>
  <si>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</si>
  <si>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</si>
  <si>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</si>
  <si>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</si>
  <si>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</si>
  <si>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</si>
  <si>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</si>
  <si>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</si>
  <si>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</si>
  <si>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</si>
  <si>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</si>
  <si>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</si>
  <si>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</si>
  <si>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</si>
  <si>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</si>
  <si>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</si>
  <si>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</si>
  <si>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</si>
  <si>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</si>
  <si>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</si>
  <si>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</si>
  <si>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</si>
  <si>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</si>
  <si>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</si>
  <si>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</si>
  <si>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</si>
  <si>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</si>
  <si>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</si>
  <si>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</si>
  <si>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</si>
  <si>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</si>
  <si>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</si>
  <si>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</si>
  <si>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</si>
  <si>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</si>
  <si>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</si>
  <si>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</si>
  <si>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</si>
  <si>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</si>
  <si>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</si>
  <si>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</si>
  <si>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</si>
  <si>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</si>
  <si>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</si>
  <si>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</si>
  <si>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</si>
  <si>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</si>
  <si>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</si>
  <si>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</si>
  <si>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</si>
  <si>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</si>
  <si>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</si>
  <si>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</si>
  <si>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</si>
  <si>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</si>
  <si>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</si>
  <si>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</si>
  <si>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</si>
  <si>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</si>
  <si>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</si>
  <si>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</si>
  <si>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</si>
  <si>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</si>
  <si>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</si>
  <si>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</si>
  <si>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</si>
  <si>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</si>
  <si>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</si>
  <si>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</si>
  <si>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</si>
  <si>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</si>
  <si>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</si>
  <si>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</si>
  <si>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</si>
  <si>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</si>
  <si>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</si>
  <si>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</si>
  <si>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</si>
  <si>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</si>
  <si>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</si>
  <si>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</si>
  <si>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</si>
  <si>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</si>
  <si>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</si>
  <si>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</si>
  <si>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</si>
  <si>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</si>
  <si>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</si>
  <si>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</si>
  <si>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</si>
  <si>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</si>
  <si>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</si>
  <si>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</si>
  <si>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</si>
  <si>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</si>
  <si>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</si>
  <si>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</si>
  <si>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</si>
  <si>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</si>
  <si>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</si>
  <si>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</si>
  <si>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</si>
  <si>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</si>
  <si>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</si>
  <si>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</si>
  <si>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</si>
  <si>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</si>
  <si>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</si>
  <si>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</si>
  <si>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</si>
  <si>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</si>
  <si>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</si>
  <si>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</si>
  <si>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</si>
  <si>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</si>
  <si>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</si>
  <si>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</si>
  <si>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</si>
  <si>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</si>
  <si>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</si>
  <si>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</si>
  <si>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</si>
  <si>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</si>
  <si>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</si>
  <si>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</si>
  <si>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</si>
  <si>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</si>
  <si>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</si>
  <si>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</si>
  <si>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</si>
  <si>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</si>
  <si>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</si>
  <si>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</si>
  <si>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</si>
  <si>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</si>
  <si>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</si>
  <si>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</si>
  <si>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</si>
  <si>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</si>
  <si>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</si>
  <si>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</si>
  <si>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</si>
  <si>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</si>
  <si>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</si>
  <si>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</si>
  <si>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</si>
  <si>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</si>
  <si>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</si>
  <si>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</si>
  <si>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</si>
  <si>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</si>
  <si>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</si>
  <si>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</si>
  <si>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</si>
  <si>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</si>
  <si>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</si>
  <si>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</si>
  <si>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</si>
  <si>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</si>
  <si>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</si>
  <si>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</si>
  <si>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</si>
  <si>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</si>
  <si>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</si>
  <si>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</si>
  <si>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</si>
  <si>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</si>
  <si>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</si>
  <si>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</si>
  <si>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</si>
  <si>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</si>
  <si>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</si>
  <si>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</si>
  <si>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</si>
  <si>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</si>
  <si>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</si>
  <si>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</si>
  <si>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</si>
  <si>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</si>
  <si>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</si>
  <si>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</si>
  <si>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</si>
  <si>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</si>
  <si>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</si>
  <si>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</si>
  <si>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</si>
  <si>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</si>
  <si>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</si>
  <si>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</si>
  <si>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</si>
  <si>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</si>
  <si>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</si>
  <si>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</si>
  <si>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</si>
  <si>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</si>
  <si>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</si>
  <si>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</si>
  <si>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</si>
  <si>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</si>
  <si>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</si>
  <si>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</si>
  <si>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</si>
  <si>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</si>
  <si>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</si>
  <si>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</si>
  <si>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</si>
  <si>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</si>
  <si>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</si>
  <si>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</si>
  <si>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</si>
  <si>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</si>
  <si>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</si>
  <si>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</si>
  <si>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</si>
  <si>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</si>
  <si>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</si>
  <si>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</si>
  <si>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</si>
  <si>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</si>
  <si>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</si>
  <si>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</si>
  <si>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</si>
  <si>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</si>
  <si>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</si>
  <si>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</si>
  <si>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</si>
  <si>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</si>
  <si>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</si>
  <si>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</si>
  <si>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</si>
  <si>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</si>
  <si>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</si>
  <si>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</si>
  <si>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</si>
  <si>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</si>
  <si>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</si>
  <si>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</si>
  <si>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</si>
  <si>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</si>
  <si>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</si>
  <si>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</si>
  <si>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</si>
  <si>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</si>
  <si>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</si>
  <si>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</si>
  <si>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</si>
  <si>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</si>
  <si>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</si>
  <si>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</si>
  <si>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</si>
  <si>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</si>
  <si>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</si>
  <si>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</si>
  <si>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</si>
  <si>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</si>
  <si>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</si>
  <si>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</si>
  <si>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</si>
  <si>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</si>
  <si>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</si>
  <si>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</si>
  <si>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</si>
  <si>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</si>
  <si>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</si>
  <si>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</si>
  <si>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</si>
  <si>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</si>
  <si>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</si>
  <si>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</si>
  <si>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</si>
  <si>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</si>
  <si>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</si>
  <si>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</si>
  <si>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</si>
  <si>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</si>
  <si>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</si>
  <si>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</si>
  <si>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</si>
  <si>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</si>
  <si>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</si>
  <si>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</si>
  <si>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</si>
  <si>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</si>
  <si>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</si>
  <si>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</si>
  <si>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</si>
  <si>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</si>
  <si>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</si>
  <si>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</si>
  <si>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</si>
  <si>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</si>
  <si>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</si>
  <si>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</si>
  <si>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</si>
  <si>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</si>
  <si>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</si>
  <si>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</si>
  <si>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</si>
  <si>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</si>
  <si>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</si>
  <si>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</si>
  <si>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</si>
  <si>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</si>
  <si>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</si>
  <si>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</si>
  <si>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</si>
  <si>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</si>
  <si>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</si>
  <si>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</si>
  <si>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</si>
  <si>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</si>
  <si>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</si>
  <si>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</si>
  <si>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</si>
  <si>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</si>
  <si>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</si>
  <si>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</si>
  <si>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</si>
  <si>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</si>
  <si>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</si>
  <si>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</si>
  <si>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</si>
  <si>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</si>
  <si>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</si>
  <si>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</si>
  <si>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</si>
  <si>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</si>
  <si>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</si>
  <si>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</si>
  <si>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</si>
  <si>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</si>
  <si>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</si>
  <si>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</si>
  <si>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</si>
  <si>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</si>
  <si>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</si>
  <si>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</si>
  <si>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</si>
  <si>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</si>
  <si>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</si>
  <si>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</si>
  <si>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</si>
  <si>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</si>
  <si>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</si>
  <si>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</si>
  <si>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</si>
  <si>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</si>
  <si>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</si>
  <si>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</si>
  <si>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</si>
  <si>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</si>
  <si>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</si>
  <si>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</si>
  <si>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</si>
  <si>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</si>
  <si>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</si>
  <si>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</si>
  <si>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</si>
  <si>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</si>
  <si>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</si>
  <si>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</si>
  <si>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</si>
  <si>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</si>
  <si>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</si>
  <si>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</si>
  <si>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</si>
  <si>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</si>
  <si>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</si>
  <si>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</si>
  <si>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</si>
  <si>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</si>
  <si>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</si>
  <si>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</si>
  <si>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</si>
  <si>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</si>
  <si>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</si>
  <si>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</si>
  <si>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</si>
  <si>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</si>
  <si>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</si>
  <si>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</si>
  <si>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</si>
  <si>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</si>
  <si>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</si>
  <si>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</si>
  <si>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</si>
  <si>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</si>
  <si>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</si>
  <si>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</si>
  <si>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</si>
  <si>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</si>
  <si>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</si>
  <si>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</si>
  <si>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</si>
  <si>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</si>
  <si>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</si>
  <si>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</si>
  <si>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</si>
  <si>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</si>
  <si>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</si>
  <si>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</si>
  <si>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</si>
  <si>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</si>
  <si>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</si>
  <si>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</si>
  <si>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</si>
  <si>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</si>
  <si>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</si>
  <si>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</si>
  <si>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</si>
  <si>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</si>
  <si>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</si>
  <si>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</si>
  <si>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</si>
  <si>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</si>
  <si>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</si>
  <si>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</si>
  <si>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</si>
  <si>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</si>
  <si>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</si>
  <si>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</si>
  <si>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</si>
  <si>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</si>
  <si>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</si>
  <si>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</si>
  <si>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</si>
  <si>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</si>
  <si>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</si>
  <si>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</si>
  <si>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</si>
  <si>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</si>
  <si>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</si>
  <si>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</si>
  <si>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</si>
  <si>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</si>
  <si>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</si>
  <si>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</si>
  <si>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</si>
  <si>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</si>
  <si>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</si>
  <si>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</si>
  <si>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</si>
  <si>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</si>
  <si>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</si>
  <si>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</si>
  <si>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</si>
  <si>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</si>
  <si>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</si>
  <si>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</si>
  <si>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</si>
  <si>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</si>
  <si>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</si>
  <si>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</si>
  <si>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</si>
  <si>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</si>
  <si>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</si>
  <si>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</si>
  <si>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</si>
  <si>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</si>
  <si>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</si>
  <si>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</si>
  <si>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</si>
  <si>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</si>
  <si>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</si>
  <si>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</si>
  <si>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</si>
  <si>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</si>
  <si>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</si>
  <si>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</si>
  <si>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</si>
  <si>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</si>
  <si>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</si>
  <si>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</si>
  <si>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</si>
  <si>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</si>
  <si>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</si>
  <si>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</si>
  <si>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</si>
  <si>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</si>
  <si>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</si>
  <si>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</si>
  <si>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</si>
  <si>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</si>
  <si>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</si>
  <si>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</si>
  <si>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</si>
  <si>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</si>
  <si>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</si>
  <si>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</si>
  <si>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</si>
  <si>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</si>
  <si>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</si>
  <si>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</si>
  <si>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</si>
  <si>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</si>
  <si>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</si>
  <si>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</si>
  <si>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</si>
  <si>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</si>
  <si>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</si>
  <si>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</si>
  <si>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</si>
  <si>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</si>
  <si>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</si>
  <si>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</si>
  <si>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</si>
  <si>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</si>
  <si>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</si>
  <si>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</si>
  <si>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</si>
  <si>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</si>
  <si>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</si>
  <si>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</si>
  <si>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</si>
  <si>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</si>
  <si>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</si>
  <si>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</si>
  <si>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</si>
  <si>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</si>
  <si>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</si>
  <si>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</si>
  <si>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</si>
  <si>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</si>
  <si>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</si>
  <si>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</si>
  <si>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</si>
  <si>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</si>
  <si>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</si>
  <si>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</si>
  <si>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</si>
  <si>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</si>
  <si>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</si>
  <si>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</si>
  <si>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</si>
  <si>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</si>
  <si>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</si>
  <si>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</si>
  <si>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</si>
  <si>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</si>
  <si>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</si>
  <si>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</si>
  <si>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</si>
  <si>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</si>
  <si>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</si>
  <si>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</si>
  <si>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</si>
  <si>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</si>
  <si>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</si>
  <si>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</si>
  <si>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</si>
  <si>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</si>
  <si>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</si>
  <si>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</si>
  <si>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</si>
  <si>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</si>
  <si>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</si>
  <si>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</si>
  <si>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</si>
  <si>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</si>
  <si>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</si>
  <si>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</si>
  <si>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</si>
  <si>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</si>
  <si>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</si>
  <si>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</si>
  <si>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</si>
  <si>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</si>
  <si>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</si>
  <si>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</si>
  <si>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</si>
  <si>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</si>
  <si>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</si>
  <si>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</si>
  <si>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</si>
  <si>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</si>
  <si>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</si>
  <si>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</si>
  <si>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</si>
  <si>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</si>
  <si>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</si>
  <si>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</si>
  <si>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</si>
  <si>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</si>
  <si>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</si>
  <si>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</si>
  <si>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</si>
  <si>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</si>
  <si>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</si>
  <si>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</si>
  <si>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</si>
  <si>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</si>
  <si>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</si>
  <si>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</si>
  <si>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</si>
  <si>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</si>
  <si>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</si>
  <si>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</si>
  <si>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</si>
  <si>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</si>
  <si>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</si>
  <si>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</si>
  <si>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</si>
  <si>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</si>
  <si>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</si>
  <si>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</si>
  <si>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</si>
  <si>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</si>
  <si>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</si>
  <si>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</si>
  <si>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</si>
  <si>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</si>
  <si>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</si>
  <si>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</si>
  <si>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</si>
  <si>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</si>
  <si>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</si>
  <si>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</si>
  <si>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</si>
  <si>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</si>
  <si>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</si>
  <si>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</si>
  <si>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</si>
  <si>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</si>
  <si>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</si>
  <si>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</si>
  <si>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</si>
  <si>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</si>
  <si>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</si>
  <si>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</si>
  <si>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</si>
  <si>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</si>
  <si>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</si>
  <si>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</si>
  <si>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</si>
  <si>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</si>
  <si>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</si>
  <si>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</si>
  <si>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</si>
  <si>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</si>
  <si>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</si>
  <si>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</si>
  <si>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</si>
  <si>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</si>
  <si>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</si>
  <si>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</si>
  <si>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</si>
  <si>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</si>
  <si>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</si>
  <si>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</si>
  <si>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</si>
  <si>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</si>
  <si>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</si>
  <si>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</si>
  <si>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</si>
  <si>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</si>
  <si>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</si>
  <si>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</si>
  <si>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</si>
  <si>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</si>
  <si>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</si>
  <si>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</si>
  <si>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</si>
  <si>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</si>
  <si>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</si>
  <si>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</si>
  <si>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</si>
  <si>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</si>
  <si>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</si>
  <si>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</si>
  <si>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</si>
  <si>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</si>
  <si>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</si>
  <si>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</si>
  <si>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</si>
  <si>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</si>
  <si>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</si>
  <si>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</si>
  <si>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</si>
  <si>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</si>
  <si>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</si>
  <si>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</si>
  <si>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</si>
  <si>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</si>
  <si>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</si>
  <si>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</si>
  <si>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</si>
  <si>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</si>
  <si>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</si>
  <si>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</si>
  <si>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</si>
  <si>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</si>
  <si>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</si>
  <si>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</si>
  <si>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</si>
  <si>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</si>
  <si>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</si>
  <si>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</si>
  <si>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</si>
  <si>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</si>
  <si>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</si>
  <si>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</si>
  <si>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</si>
  <si>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</si>
  <si>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</si>
  <si>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</si>
  <si>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</si>
  <si>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</si>
  <si>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</si>
  <si>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</si>
  <si>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</si>
  <si>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</si>
  <si>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</si>
  <si>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</si>
  <si>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</si>
  <si>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</si>
  <si>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</si>
  <si>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</si>
  <si>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</si>
  <si>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</si>
  <si>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</si>
  <si>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</si>
  <si>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</si>
  <si>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</si>
  <si>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</si>
  <si>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</si>
  <si>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</si>
  <si>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</si>
  <si>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</si>
  <si>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</si>
  <si>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</si>
  <si>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</si>
  <si>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</si>
  <si>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</si>
  <si>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</si>
  <si>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</si>
  <si>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</si>
  <si>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</si>
  <si>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</si>
  <si>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</si>
  <si>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</si>
  <si>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</si>
  <si>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</si>
  <si>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</si>
  <si>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</si>
  <si>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</si>
  <si>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</si>
  <si>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</si>
  <si>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</si>
  <si>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</si>
  <si>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</si>
  <si>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</si>
  <si>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</si>
  <si>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</si>
  <si>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</si>
  <si>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</si>
  <si>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</si>
  <si>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</si>
  <si>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</si>
  <si>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</si>
  <si>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</si>
  <si>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</si>
  <si>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</si>
  <si>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</si>
  <si>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</si>
  <si>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</si>
  <si>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</si>
  <si>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</si>
  <si>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</si>
  <si>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</si>
  <si>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</si>
  <si>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</si>
  <si>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</si>
  <si>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</si>
  <si>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</si>
  <si>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</si>
  <si>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</si>
  <si>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</si>
  <si>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</si>
  <si>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</si>
  <si>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</si>
  <si>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</si>
  <si>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</si>
  <si>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</si>
  <si>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</si>
  <si>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</si>
  <si>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</si>
  <si>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</si>
  <si>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</si>
  <si>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</si>
  <si>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</si>
  <si>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</si>
  <si>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</si>
  <si>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</si>
  <si>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</si>
  <si>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</si>
  <si>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</si>
  <si>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</si>
  <si>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</si>
  <si>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</si>
  <si>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</si>
  <si>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</si>
  <si>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</si>
  <si>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</si>
  <si>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</si>
  <si>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</si>
  <si>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</si>
  <si>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</si>
  <si>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</si>
  <si>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</si>
  <si>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</si>
  <si>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</si>
  <si>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</si>
  <si>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</si>
  <si>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</si>
  <si>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</si>
  <si>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</si>
  <si>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</si>
  <si>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</si>
  <si>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</si>
  <si>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</si>
  <si>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</si>
  <si>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</si>
  <si>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</si>
  <si>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</si>
  <si>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</si>
  <si>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</si>
  <si>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</si>
  <si>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</si>
  <si>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</si>
  <si>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</si>
  <si>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</si>
  <si>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</si>
  <si>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</si>
  <si>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</si>
  <si>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</si>
  <si>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</si>
  <si>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</si>
  <si>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</si>
  <si>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</si>
  <si>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</si>
  <si>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</si>
  <si>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</si>
  <si>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</si>
  <si>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</si>
  <si>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</si>
  <si>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</si>
  <si>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</si>
  <si>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</si>
  <si>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</si>
  <si>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</si>
  <si>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</si>
  <si>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</si>
  <si>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</si>
  <si>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</si>
  <si>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</si>
  <si>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</si>
  <si>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</si>
  <si>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</si>
  <si>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</si>
  <si>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</si>
  <si>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</si>
  <si>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</si>
  <si>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</si>
  <si>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</si>
  <si>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</si>
  <si>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</si>
  <si>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</si>
  <si>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</si>
  <si>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</si>
  <si>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</si>
  <si>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</si>
  <si>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</si>
  <si>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</si>
  <si>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</si>
  <si>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</si>
  <si>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</si>
  <si>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</si>
  <si>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</si>
  <si>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</si>
  <si>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</si>
  <si>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</si>
  <si>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</si>
  <si>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</si>
  <si>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</si>
  <si>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</si>
  <si>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</si>
  <si>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</si>
  <si>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</si>
  <si>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</si>
  <si>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</si>
  <si>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</si>
  <si>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</si>
  <si>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</si>
  <si>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</si>
  <si>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</si>
  <si>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</si>
  <si>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</si>
  <si>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</si>
  <si>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</si>
  <si>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</si>
  <si>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</si>
  <si>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</si>
  <si>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</si>
  <si>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</si>
  <si>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</si>
  <si>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</si>
  <si>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</si>
  <si>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</si>
  <si>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</si>
  <si>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</si>
  <si>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</si>
  <si>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</si>
  <si>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</si>
  <si>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</si>
  <si>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</si>
  <si>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</si>
  <si>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</si>
  <si>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</si>
  <si>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</si>
  <si>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</si>
  <si>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</si>
  <si>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</si>
  <si>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</si>
  <si>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</si>
  <si>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</si>
  <si>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</si>
  <si>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</si>
  <si>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</si>
  <si>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</si>
  <si>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</si>
  <si>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</si>
  <si>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</si>
  <si>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</si>
  <si>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</si>
  <si>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</si>
  <si>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</si>
  <si>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</si>
  <si>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</si>
  <si>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</si>
  <si>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</si>
  <si>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</si>
  <si>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</si>
  <si>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</si>
  <si>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</si>
  <si>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</si>
  <si>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</si>
  <si>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</si>
  <si>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</si>
  <si>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</si>
  <si>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</si>
  <si>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</si>
  <si>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</si>
  <si>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</si>
  <si>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</si>
  <si>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</si>
  <si>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</si>
  <si>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</si>
  <si>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</si>
  <si>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</si>
  <si>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</si>
  <si>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</si>
  <si>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</si>
  <si>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</si>
  <si>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</si>
  <si>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</si>
  <si>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</si>
  <si>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</si>
  <si>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</si>
  <si>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</si>
  <si>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</si>
  <si>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</si>
  <si>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</si>
  <si>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</si>
  <si>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</si>
  <si>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</si>
  <si>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</si>
  <si>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</si>
  <si>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</si>
  <si>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</si>
  <si>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</si>
  <si>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</si>
  <si>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</si>
  <si>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</si>
  <si>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</si>
  <si>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</si>
  <si>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</si>
  <si>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</si>
  <si>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</si>
  <si>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</si>
  <si>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</si>
  <si>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</si>
  <si>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</si>
  <si>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</si>
  <si>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</si>
  <si>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</si>
  <si>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</si>
  <si>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</si>
  <si>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</si>
  <si>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</si>
  <si>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</si>
  <si>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</si>
  <si>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</si>
  <si>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</si>
  <si>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</si>
  <si>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</si>
  <si>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</si>
  <si>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</si>
  <si>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</si>
  <si>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</si>
  <si>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</si>
  <si>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</si>
  <si>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</si>
  <si>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</si>
  <si>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</si>
  <si>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</si>
  <si>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</si>
  <si>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</si>
  <si>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</si>
  <si>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</si>
  <si>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</si>
  <si>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</si>
  <si>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</si>
  <si>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</si>
  <si>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</si>
  <si>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</si>
  <si>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</si>
  <si>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</si>
  <si>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</si>
  <si>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</si>
  <si>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</si>
  <si>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</si>
  <si>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</si>
  <si>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</si>
  <si>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</si>
  <si>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</si>
  <si>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</si>
  <si>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</si>
  <si>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</si>
  <si>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</si>
  <si>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</si>
  <si>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</si>
  <si>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</si>
  <si>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</si>
  <si>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</si>
  <si>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</si>
  <si>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</si>
  <si>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</si>
  <si>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</si>
  <si>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</si>
  <si>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</si>
  <si>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</si>
  <si>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</si>
  <si>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</si>
  <si>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</si>
  <si>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</si>
  <si>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</si>
  <si>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</si>
  <si>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</si>
  <si>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</si>
  <si>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</si>
  <si>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</si>
  <si>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</si>
  <si>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</si>
  <si>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</si>
  <si>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</si>
  <si>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</si>
  <si>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</si>
  <si>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</si>
  <si>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</si>
  <si>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</si>
  <si>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</si>
  <si>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</si>
  <si>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</si>
  <si>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</si>
  <si>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</si>
  <si>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</si>
  <si>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</si>
  <si>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</si>
  <si>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</si>
  <si>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</si>
  <si>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</si>
  <si>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</si>
  <si>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</si>
  <si>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</si>
  <si>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</si>
  <si>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</si>
  <si>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</si>
  <si>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</si>
  <si>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</si>
  <si>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</si>
  <si>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</si>
  <si>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</si>
  <si>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</si>
  <si>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</si>
  <si>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</si>
  <si>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</si>
  <si>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</si>
  <si>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</si>
  <si>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</si>
  <si>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</si>
  <si>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</si>
  <si>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</si>
  <si>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</si>
  <si>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</si>
  <si>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</si>
  <si>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</si>
  <si>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</si>
  <si>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</si>
  <si>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</si>
  <si>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</si>
  <si>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</si>
  <si>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</si>
  <si>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</si>
  <si>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</si>
  <si>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</si>
  <si>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</si>
  <si>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</si>
  <si>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</si>
  <si>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</si>
  <si>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</si>
  <si>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</si>
  <si>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</si>
  <si>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</si>
  <si>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</si>
  <si>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</si>
  <si>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</si>
  <si>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</si>
  <si>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</si>
  <si>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</si>
  <si>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</si>
  <si>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</si>
  <si>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</si>
  <si>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</si>
  <si>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</si>
  <si>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</si>
  <si>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</si>
  <si>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</si>
  <si>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</si>
  <si>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</si>
  <si>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</si>
  <si>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</si>
  <si>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</si>
  <si>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</si>
  <si>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</si>
  <si>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</si>
  <si>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</si>
  <si>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</si>
  <si>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</si>
  <si>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</si>
  <si>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</si>
  <si>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</si>
  <si>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</si>
  <si>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</si>
  <si>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</si>
  <si>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</si>
  <si>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</si>
  <si>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</si>
  <si>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</si>
  <si>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</si>
  <si>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</si>
  <si>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</si>
  <si>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</si>
  <si>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</si>
  <si>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</si>
  <si>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</si>
  <si>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</si>
  <si>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</si>
  <si>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</si>
  <si>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</si>
  <si>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</si>
  <si>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</si>
  <si>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</si>
  <si>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</si>
  <si>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</si>
  <si>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</si>
  <si>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</si>
  <si>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</si>
  <si>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</si>
  <si>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</si>
  <si>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</si>
  <si>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</si>
  <si>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</si>
  <si>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</si>
  <si>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</si>
  <si>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</si>
  <si>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</si>
  <si>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</si>
  <si>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</si>
  <si>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</si>
  <si>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</si>
  <si>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</si>
  <si>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</si>
  <si>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</si>
  <si>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</si>
  <si>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</si>
  <si>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</si>
  <si>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</si>
  <si>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</si>
  <si>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</si>
  <si>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</si>
  <si>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</si>
  <si>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</si>
  <si>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</si>
  <si>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</si>
  <si>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</si>
  <si>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</si>
  <si>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</si>
  <si>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</si>
  <si>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</si>
  <si>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</si>
  <si>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</si>
  <si>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</si>
  <si>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</si>
  <si>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</si>
  <si>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</si>
  <si>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</si>
  <si>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</si>
  <si>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</si>
  <si>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</si>
  <si>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</si>
  <si>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</si>
  <si>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</si>
  <si>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</si>
  <si>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</si>
  <si>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</si>
  <si>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</si>
  <si>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</si>
  <si>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</si>
  <si>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</si>
  <si>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</si>
  <si>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</si>
  <si>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</si>
  <si>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</si>
  <si>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</si>
  <si>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</si>
  <si>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</si>
  <si>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</si>
  <si>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</si>
  <si>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</si>
  <si>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</si>
  <si>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</si>
  <si>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</si>
  <si>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</si>
  <si>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</si>
  <si>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</si>
  <si>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</si>
  <si>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</si>
  <si>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</si>
  <si>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</si>
  <si>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</si>
  <si>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</si>
  <si>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</si>
  <si>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</si>
  <si>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</si>
  <si>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</si>
  <si>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</si>
  <si>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</si>
  <si>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</si>
  <si>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</si>
  <si>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</si>
  <si>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</si>
  <si>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</si>
  <si>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</si>
  <si>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</si>
  <si>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</si>
  <si>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</si>
  <si>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</si>
  <si>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</si>
  <si>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</si>
  <si>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</si>
  <si>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</si>
  <si>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</si>
  <si>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</si>
  <si>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</si>
  <si>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</si>
  <si>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</si>
  <si>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</si>
  <si>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</si>
  <si>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</si>
  <si>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</si>
  <si>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</si>
  <si>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</si>
  <si>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</si>
  <si>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</si>
  <si>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</si>
  <si>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</si>
  <si>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</si>
  <si>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</si>
  <si>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</si>
  <si>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</si>
  <si>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</si>
  <si>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</si>
  <si>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</si>
  <si>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</si>
  <si>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</si>
  <si>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</si>
  <si>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</si>
  <si>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</si>
  <si>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</si>
  <si>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</si>
  <si>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</si>
  <si>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</si>
  <si>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</si>
  <si>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</si>
  <si>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</si>
  <si>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</si>
  <si>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</si>
  <si>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</si>
  <si>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</si>
  <si>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</si>
  <si>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</si>
  <si>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</si>
  <si>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</si>
  <si>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</si>
  <si>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</si>
  <si>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</si>
  <si>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</si>
  <si>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</si>
  <si>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</si>
  <si>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</si>
  <si>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</si>
  <si>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</si>
  <si>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</si>
  <si>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</si>
  <si>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</si>
  <si>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</si>
  <si>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</si>
  <si>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</si>
  <si>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</si>
  <si>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</si>
  <si>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</si>
  <si>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</si>
  <si>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</si>
  <si>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</si>
  <si>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</si>
  <si>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</si>
  <si>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</si>
  <si>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</si>
  <si>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</si>
  <si>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</si>
  <si>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</si>
  <si>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</si>
  <si>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</si>
  <si>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</si>
  <si>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</si>
  <si>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</si>
  <si>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</si>
  <si>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</si>
  <si>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</si>
  <si>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</si>
  <si>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</si>
  <si>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</si>
  <si>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</si>
  <si>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</si>
  <si>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</si>
  <si>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</si>
  <si>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</si>
  <si>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</si>
  <si>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</si>
  <si>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</si>
  <si>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</si>
  <si>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</si>
  <si>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</si>
  <si>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</si>
  <si>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</si>
  <si>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</si>
  <si>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</si>
  <si>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</si>
  <si>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</si>
  <si>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</si>
  <si>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</si>
  <si>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</si>
  <si>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</si>
  <si>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</si>
  <si>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</si>
  <si>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</si>
  <si>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</si>
  <si>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</si>
  <si>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</si>
  <si>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</si>
  <si>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</si>
  <si>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</si>
  <si>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</si>
  <si>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</si>
  <si>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</si>
  <si>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</si>
  <si>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</si>
  <si>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</si>
  <si>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</si>
  <si>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</si>
  <si>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</si>
  <si>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</si>
  <si>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</si>
  <si>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</si>
  <si>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</si>
  <si>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</si>
  <si>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</si>
  <si>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</si>
  <si>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</si>
  <si>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</si>
  <si>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</si>
  <si>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</si>
  <si>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</si>
  <si>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</si>
  <si>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</si>
  <si>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</si>
  <si>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</si>
  <si>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</si>
  <si>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</si>
  <si>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</si>
  <si>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</si>
  <si>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</si>
  <si>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</si>
  <si>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</si>
  <si>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</si>
  <si>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</si>
  <si>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</si>
  <si>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</si>
  <si>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</si>
  <si>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</si>
  <si>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</si>
  <si>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</si>
  <si>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</si>
  <si>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</si>
  <si>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</si>
  <si>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</si>
  <si>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</si>
  <si>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</si>
  <si>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</si>
  <si>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</si>
  <si>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</si>
  <si>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</si>
  <si>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</si>
  <si>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</si>
  <si>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</si>
  <si>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</si>
  <si>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</si>
  <si>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</si>
  <si>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</si>
  <si>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</si>
  <si>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</si>
  <si>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</si>
  <si>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</si>
  <si>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</si>
  <si>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</si>
  <si>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</si>
  <si>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</si>
  <si>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</si>
  <si>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</si>
  <si>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</si>
  <si>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</si>
  <si>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</si>
  <si>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</si>
  <si>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</si>
  <si>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</si>
  <si>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</si>
  <si>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</si>
  <si>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</si>
  <si>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</si>
  <si>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</si>
  <si>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</si>
  <si>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</si>
  <si>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</si>
  <si>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</si>
  <si>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</si>
  <si>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</si>
  <si>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</si>
  <si>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</si>
  <si>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</si>
  <si>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</si>
  <si>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</si>
  <si>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</si>
  <si>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</si>
  <si>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</si>
  <si>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</si>
  <si>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</si>
  <si>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</si>
  <si>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</si>
  <si>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</si>
  <si>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</si>
  <si>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</si>
  <si>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</si>
  <si>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</si>
  <si>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</si>
  <si>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</si>
  <si>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</si>
  <si>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</si>
  <si>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</si>
  <si>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</si>
  <si>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</si>
  <si>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</si>
  <si>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</si>
  <si>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</si>
  <si>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</si>
  <si>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</si>
  <si>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</si>
  <si>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</si>
  <si>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</si>
  <si>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</si>
  <si>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</si>
  <si>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</si>
  <si>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</si>
  <si>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</si>
  <si>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</si>
  <si>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</si>
  <si>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</si>
  <si>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</si>
  <si>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</si>
  <si>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</si>
  <si>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</si>
  <si>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</si>
  <si>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</si>
  <si>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</si>
  <si>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</si>
  <si>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</si>
  <si>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</si>
  <si>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</si>
  <si>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</si>
  <si>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</si>
  <si>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</si>
  <si>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</si>
  <si>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</si>
  <si>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</si>
  <si>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</si>
  <si>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</si>
  <si>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</si>
  <si>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</si>
  <si>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</si>
  <si>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</si>
  <si>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</si>
  <si>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</si>
  <si>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</si>
  <si>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</si>
  <si>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</si>
  <si>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</si>
  <si>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</si>
  <si>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</si>
  <si>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</si>
  <si>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</si>
  <si>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</si>
  <si>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</si>
  <si>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</si>
  <si>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</si>
  <si>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</si>
  <si>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</si>
  <si>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</si>
  <si>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</si>
  <si>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</si>
  <si>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</si>
  <si>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</si>
  <si>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</si>
  <si>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</si>
  <si>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</si>
  <si>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</si>
  <si>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</si>
  <si>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</si>
  <si>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</si>
  <si>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</si>
  <si>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</si>
  <si>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</si>
  <si>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</si>
  <si>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</si>
  <si>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</si>
  <si>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</si>
  <si>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</si>
  <si>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</si>
  <si>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</si>
  <si>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</si>
  <si>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</si>
  <si>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</si>
  <si>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</si>
  <si>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</si>
  <si>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</si>
  <si>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</si>
  <si>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</si>
  <si>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</si>
  <si>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</si>
  <si>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</si>
  <si>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</si>
  <si>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</si>
  <si>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</si>
  <si>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</si>
  <si>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</si>
  <si>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</si>
  <si>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</si>
  <si>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</si>
  <si>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</si>
  <si>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</si>
  <si>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</si>
  <si>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</si>
  <si>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</si>
  <si>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</si>
  <si>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</si>
  <si>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</si>
  <si>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</si>
  <si>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</si>
  <si>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</si>
  <si>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</si>
  <si>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</si>
  <si>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</si>
  <si>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</si>
  <si>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</si>
  <si>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</si>
  <si>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</si>
  <si>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</si>
  <si>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</si>
  <si>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</si>
  <si>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</si>
  <si>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</si>
  <si>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</si>
  <si>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</si>
  <si>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</si>
  <si>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</si>
  <si>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</si>
  <si>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</si>
  <si>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</si>
  <si>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</si>
  <si>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</si>
  <si>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</si>
  <si>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</si>
  <si>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</si>
  <si>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</si>
  <si>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</si>
  <si>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</si>
  <si>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</si>
  <si>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</si>
  <si>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</si>
  <si>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</si>
  <si>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</si>
  <si>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</si>
  <si>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</si>
  <si>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</si>
  <si>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</si>
  <si>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</si>
  <si>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</si>
  <si>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</si>
  <si>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</si>
  <si>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</si>
  <si>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</si>
  <si>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</si>
  <si>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</si>
  <si>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</si>
  <si>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</si>
  <si>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</si>
  <si>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</si>
  <si>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</si>
  <si>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</si>
  <si>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</si>
  <si>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</si>
  <si>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</si>
  <si>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</si>
  <si>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</si>
  <si>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</si>
  <si>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</si>
  <si>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</si>
  <si>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</si>
  <si>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</si>
  <si>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</si>
  <si>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</si>
  <si>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</si>
  <si>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</si>
  <si>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</si>
  <si>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</si>
  <si>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</si>
  <si>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</si>
  <si>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</si>
  <si>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</si>
  <si>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</si>
  <si>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</si>
  <si>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</si>
  <si>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</si>
  <si>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</si>
  <si>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</si>
  <si>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</si>
  <si>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</si>
  <si>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</si>
  <si>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</si>
  <si>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</si>
  <si>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</si>
  <si>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</si>
  <si>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</si>
  <si>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</si>
  <si>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</si>
  <si>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</si>
  <si>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</si>
  <si>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</si>
  <si>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</si>
  <si>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</si>
  <si>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</si>
  <si>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</si>
  <si>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</si>
  <si>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</si>
  <si>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</si>
  <si>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</si>
  <si>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</si>
  <si>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</si>
  <si>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</si>
  <si>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</si>
  <si>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</si>
  <si>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</si>
  <si>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</si>
  <si>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</si>
  <si>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</si>
  <si>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</si>
  <si>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</si>
  <si>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</si>
  <si>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</si>
  <si>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</si>
  <si>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</si>
  <si>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</si>
  <si>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</si>
  <si>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</si>
  <si>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</si>
  <si>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</si>
  <si>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</si>
  <si>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</si>
  <si>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</si>
  <si>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</si>
  <si>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</si>
  <si>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</si>
  <si>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</si>
  <si>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</si>
  <si>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</si>
  <si>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</si>
  <si>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</si>
  <si>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</si>
  <si>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</si>
  <si>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</si>
  <si>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</si>
  <si>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</si>
  <si>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</si>
  <si>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</si>
  <si>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</si>
  <si>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</si>
  <si>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</si>
  <si>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</si>
  <si>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</si>
  <si>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</si>
  <si>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</si>
  <si>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</si>
  <si>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</si>
  <si>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</si>
  <si>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</si>
  <si>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</si>
  <si>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</si>
  <si>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</si>
  <si>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</si>
  <si>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</si>
  <si>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</si>
  <si>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</si>
  <si>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</si>
  <si>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</si>
  <si>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</si>
  <si>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</si>
  <si>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</si>
  <si>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</si>
  <si>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</si>
  <si>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</si>
  <si>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</si>
  <si>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</si>
  <si>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</si>
  <si>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</si>
  <si>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</si>
  <si>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</si>
  <si>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</si>
  <si>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</si>
  <si>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</si>
  <si>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</si>
  <si>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</si>
  <si>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</si>
  <si>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</si>
  <si>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</si>
  <si>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</si>
  <si>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</si>
  <si>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</si>
  <si>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</si>
  <si>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</si>
  <si>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</si>
  <si>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</si>
  <si>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</si>
  <si>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</si>
  <si>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</si>
  <si>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</si>
  <si>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</si>
  <si>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</si>
  <si>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</si>
  <si>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</si>
  <si>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</si>
  <si>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</si>
  <si>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</si>
  <si>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</si>
  <si>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</si>
  <si>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</si>
  <si>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</si>
  <si>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</si>
  <si>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</si>
  <si>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</si>
  <si>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</si>
  <si>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</si>
  <si>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</si>
  <si>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</si>
  <si>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</si>
  <si>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</si>
  <si>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</si>
  <si>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</si>
  <si>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</si>
  <si>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</si>
  <si>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</si>
  <si>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</si>
  <si>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</si>
  <si>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</si>
  <si>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</si>
  <si>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</si>
  <si>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</si>
  <si>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</si>
  <si>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</si>
  <si>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</si>
  <si>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</si>
  <si>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</si>
  <si>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</si>
  <si>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</si>
  <si>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</si>
  <si>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</si>
  <si>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</si>
  <si>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</si>
  <si>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</si>
  <si>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</si>
  <si>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</si>
  <si>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</si>
  <si>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</si>
  <si>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</si>
  <si>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</si>
  <si>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</si>
  <si>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</si>
  <si>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</si>
  <si>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</si>
  <si>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</si>
  <si>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</si>
  <si>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</si>
  <si>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</si>
  <si>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</si>
  <si>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</si>
  <si>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</si>
  <si>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</si>
  <si>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</si>
  <si>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</si>
  <si>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</si>
  <si>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</si>
  <si>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</si>
  <si>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</si>
  <si>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</si>
  <si>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</si>
  <si>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</si>
  <si>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</si>
  <si>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</si>
  <si>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</si>
  <si>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</si>
  <si>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</si>
  <si>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</si>
  <si>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</si>
  <si>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</si>
  <si>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</si>
  <si>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</si>
  <si>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</si>
  <si>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</si>
  <si>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</si>
  <si>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</si>
  <si>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</si>
  <si>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</si>
  <si>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</si>
  <si>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</si>
  <si>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</si>
  <si>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</si>
  <si>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</si>
  <si>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</si>
  <si>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</si>
  <si>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</si>
  <si>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</si>
  <si>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</si>
  <si>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</si>
  <si>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</si>
  <si>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</si>
  <si>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</si>
  <si>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</si>
  <si>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</si>
  <si>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</si>
  <si>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</si>
  <si>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</si>
  <si>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</si>
  <si>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</si>
  <si>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</si>
  <si>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</si>
  <si>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</si>
  <si>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</si>
  <si>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</si>
  <si>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</si>
  <si>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</si>
  <si>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</si>
  <si>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</si>
  <si>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</si>
  <si>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</si>
  <si>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</si>
  <si>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</si>
  <si>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</si>
  <si>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</si>
  <si>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</si>
  <si>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</si>
  <si>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</si>
  <si>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</si>
  <si>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</si>
  <si>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</si>
  <si>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</si>
  <si>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</si>
  <si>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</si>
  <si>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</si>
  <si>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</si>
  <si>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</si>
  <si>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</si>
  <si>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</si>
  <si>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</si>
  <si>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</si>
  <si>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</si>
  <si>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</si>
  <si>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</si>
  <si>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</si>
  <si>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</si>
  <si>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</si>
  <si>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</si>
  <si>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</si>
  <si>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</si>
  <si>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</si>
  <si>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</si>
  <si>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</si>
  <si>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</si>
  <si>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</si>
  <si>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</si>
  <si>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</si>
  <si>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</si>
  <si>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</si>
  <si>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</si>
  <si>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</si>
  <si>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</si>
  <si>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</si>
  <si>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</si>
  <si>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</si>
  <si>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</si>
  <si>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</si>
  <si>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</si>
  <si>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</si>
  <si>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</si>
  <si>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</si>
  <si>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</si>
  <si>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</si>
  <si>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</si>
  <si>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</si>
  <si>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</si>
  <si>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</si>
  <si>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</si>
  <si>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</si>
  <si>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</si>
  <si>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</si>
  <si>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</si>
  <si>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</si>
  <si>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</si>
  <si>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</si>
  <si>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</si>
  <si>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</si>
  <si>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</si>
  <si>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</si>
  <si>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</si>
  <si>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</si>
  <si>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</si>
  <si>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</si>
  <si>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</si>
  <si>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</si>
  <si>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</si>
  <si>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</si>
  <si>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</si>
  <si>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</si>
  <si>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</si>
  <si>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</si>
  <si>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</si>
  <si>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</si>
  <si>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</si>
  <si>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</si>
  <si>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</si>
  <si>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</si>
  <si>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</si>
  <si>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</si>
  <si>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</si>
  <si>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</si>
  <si>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</si>
  <si>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</si>
  <si>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</si>
  <si>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</si>
  <si>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</si>
  <si>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</si>
  <si>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</si>
  <si>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</si>
  <si>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</si>
  <si>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</si>
  <si>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</si>
  <si>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</si>
  <si>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</si>
  <si>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</si>
  <si>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</si>
  <si>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</si>
  <si>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</si>
  <si>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</si>
  <si>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</si>
  <si>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</si>
  <si>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</si>
  <si>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</si>
  <si>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</si>
  <si>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</si>
  <si>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</si>
  <si>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</si>
  <si>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</si>
  <si>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</si>
  <si>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</si>
  <si>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</si>
  <si>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</si>
  <si>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</si>
  <si>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</si>
  <si>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</si>
  <si>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</si>
  <si>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</si>
  <si>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</si>
  <si>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</si>
  <si>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</si>
  <si>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</si>
  <si>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</si>
  <si>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</si>
  <si>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</si>
  <si>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</si>
  <si>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</si>
  <si>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</si>
  <si>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</si>
  <si>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</si>
  <si>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</si>
  <si>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</si>
  <si>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</si>
  <si>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</si>
  <si>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</si>
  <si>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</si>
  <si>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</si>
  <si>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</si>
  <si>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</si>
  <si>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</si>
  <si>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</si>
  <si>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</si>
  <si>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</si>
  <si>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</si>
  <si>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</si>
  <si>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</si>
  <si>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</si>
  <si>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</si>
  <si>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</si>
  <si>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</si>
  <si>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</si>
  <si>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</si>
  <si>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</si>
  <si>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</si>
  <si>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</si>
  <si>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</si>
  <si>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</si>
  <si>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</si>
  <si>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</si>
  <si>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</si>
  <si>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</si>
  <si>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</si>
  <si>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</si>
  <si>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</si>
  <si>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</si>
  <si>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</si>
  <si>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</si>
  <si>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</si>
  <si>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</si>
  <si>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</si>
  <si>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</si>
  <si>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</si>
  <si>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</si>
  <si>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</si>
  <si>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</si>
  <si>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</si>
  <si>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</si>
  <si>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</si>
  <si>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</si>
  <si>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</si>
  <si>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</si>
  <si>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</si>
  <si>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</si>
  <si>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</si>
  <si>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</si>
  <si>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</si>
  <si>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</si>
  <si>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</si>
  <si>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</si>
  <si>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</si>
  <si>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</si>
  <si>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</si>
  <si>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</si>
  <si>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</si>
  <si>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</si>
  <si>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</si>
  <si>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</si>
  <si>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</si>
  <si>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</si>
  <si>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</si>
  <si>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</si>
  <si>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</si>
  <si>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</si>
  <si>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</si>
  <si>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</si>
  <si>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</si>
  <si>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</si>
  <si>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</si>
  <si>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</si>
  <si>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</si>
  <si>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</si>
  <si>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</si>
  <si>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</si>
  <si>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</si>
  <si>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</si>
  <si>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</si>
  <si>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</si>
  <si>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</si>
  <si>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</si>
  <si>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</si>
  <si>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</si>
  <si>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</si>
  <si>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</si>
  <si>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</si>
  <si>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</si>
  <si>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</si>
  <si>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</si>
  <si>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</si>
  <si>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</si>
  <si>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</si>
  <si>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</si>
  <si>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</si>
  <si>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</si>
  <si>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</si>
  <si>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</si>
  <si>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</si>
  <si>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</si>
  <si>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</si>
  <si>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</si>
  <si>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</si>
  <si>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</si>
  <si>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</si>
  <si>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</si>
  <si>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</si>
  <si>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</si>
  <si>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</si>
  <si>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</si>
  <si>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</si>
  <si>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</si>
  <si>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</si>
  <si>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</si>
  <si>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</si>
  <si>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</si>
  <si>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</si>
  <si>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</si>
  <si>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</si>
  <si>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</si>
  <si>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</si>
  <si>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</si>
  <si>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</si>
  <si>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</si>
  <si>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</si>
  <si>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</si>
  <si>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</si>
  <si>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</si>
  <si>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</si>
  <si>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</si>
  <si>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</si>
  <si>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</si>
  <si>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</si>
  <si>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</si>
  <si>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</si>
  <si>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</si>
  <si>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</si>
  <si>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</si>
  <si>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</si>
  <si>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</si>
  <si>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</si>
  <si>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</si>
  <si>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</si>
  <si>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</si>
  <si>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</si>
  <si>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</si>
  <si>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</si>
  <si>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</si>
  <si>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</si>
  <si>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</si>
  <si>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</si>
  <si>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</si>
  <si>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</si>
  <si>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</si>
  <si>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</si>
  <si>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</si>
  <si>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</si>
  <si>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</si>
  <si>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</si>
  <si>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</si>
  <si>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</si>
  <si>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</si>
  <si>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</si>
  <si>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</si>
  <si>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</si>
  <si>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</si>
  <si>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</si>
  <si>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</si>
  <si>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</si>
  <si>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</si>
  <si>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</si>
  <si>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</si>
  <si>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</si>
  <si>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</si>
  <si>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</si>
  <si>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</si>
  <si>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</si>
  <si>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</si>
  <si>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</si>
  <si>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</si>
  <si>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</si>
  <si>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</si>
  <si>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</si>
  <si>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</si>
  <si>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</si>
  <si>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</si>
  <si>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</si>
  <si>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</si>
  <si>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</si>
  <si>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</si>
  <si>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</si>
  <si>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</si>
  <si>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</si>
  <si>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</si>
  <si>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</si>
  <si>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</si>
  <si>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</si>
  <si>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</si>
  <si>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</si>
  <si>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</si>
  <si>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</si>
  <si>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</si>
  <si>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</si>
  <si>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</si>
  <si>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</si>
  <si>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</si>
  <si>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</si>
  <si>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</si>
  <si>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</si>
  <si>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</si>
  <si>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</si>
  <si>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</si>
  <si>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</si>
  <si>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</si>
  <si>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</si>
  <si>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</si>
  <si>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</si>
  <si>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</si>
  <si>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</si>
  <si>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</si>
  <si>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</si>
  <si>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</si>
  <si>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</si>
  <si>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</si>
  <si>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</si>
  <si>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</si>
  <si>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</si>
  <si>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</si>
  <si>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</si>
  <si>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</si>
  <si>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</si>
  <si>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</si>
  <si>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</si>
  <si>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</si>
  <si>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</si>
  <si>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</si>
  <si>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</si>
  <si>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</si>
  <si>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</si>
  <si>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</si>
  <si>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</si>
  <si>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</si>
  <si>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</si>
  <si>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</si>
  <si>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</si>
  <si>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</si>
  <si>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</si>
  <si>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</si>
  <si>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</si>
  <si>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</si>
  <si>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</si>
  <si>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</si>
  <si>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</si>
  <si>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</si>
  <si>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</si>
  <si>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</si>
  <si>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</si>
  <si>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</si>
  <si>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</si>
  <si>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</si>
  <si>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</si>
  <si>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</si>
  <si>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</si>
  <si>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</si>
  <si>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</si>
  <si>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</si>
  <si>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</si>
  <si>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</si>
  <si>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</si>
  <si>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</si>
  <si>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</si>
  <si>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</si>
  <si>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</si>
  <si>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</si>
  <si>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</si>
  <si>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</si>
  <si>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</si>
  <si>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</si>
  <si>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</si>
  <si>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</si>
  <si>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</si>
  <si>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</si>
  <si>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</si>
  <si>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</si>
  <si>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</si>
  <si>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</si>
  <si>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</si>
  <si>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</si>
  <si>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</si>
  <si>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</si>
  <si>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</si>
  <si>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</si>
  <si>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</si>
  <si>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</si>
  <si>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</si>
  <si>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</si>
  <si>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</si>
  <si>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</si>
  <si>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</si>
  <si>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</si>
  <si>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</si>
  <si>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</si>
  <si>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</si>
  <si>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</si>
  <si>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</si>
  <si>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</si>
  <si>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</si>
  <si>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</si>
  <si>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</si>
  <si>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</si>
  <si>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</si>
  <si>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</si>
  <si>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</si>
  <si>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</si>
  <si>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</si>
  <si>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</si>
  <si>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</si>
  <si>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</si>
  <si>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</si>
  <si>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</si>
  <si>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</si>
  <si>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</si>
  <si>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</si>
  <si>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</si>
  <si>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</si>
  <si>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</si>
  <si>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</si>
  <si>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</si>
  <si>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</si>
  <si>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</si>
  <si>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</si>
  <si>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</si>
  <si>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</si>
  <si>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</si>
  <si>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</si>
  <si>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</si>
  <si>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</si>
  <si>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</si>
  <si>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</si>
  <si>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</si>
  <si>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</si>
  <si>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</si>
  <si>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</si>
  <si>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</si>
  <si>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</si>
  <si>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</si>
  <si>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</si>
  <si>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</si>
  <si>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</si>
  <si>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</si>
  <si>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</si>
  <si>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</si>
  <si>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</si>
  <si>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</si>
  <si>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</si>
  <si>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</si>
  <si>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</si>
  <si>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</si>
  <si>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</si>
  <si>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</si>
  <si>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</si>
  <si>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</si>
  <si>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</si>
  <si>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</si>
  <si>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</si>
  <si>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</si>
  <si>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</si>
  <si>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</si>
  <si>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</si>
  <si>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</si>
  <si>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</si>
  <si>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</si>
  <si>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</si>
  <si>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</si>
  <si>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</si>
  <si>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</si>
  <si>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</si>
  <si>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</si>
  <si>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</si>
  <si>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</si>
  <si>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</si>
  <si>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</si>
  <si>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</si>
  <si>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</si>
  <si>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</si>
  <si>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</si>
  <si>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</si>
  <si>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</si>
  <si>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</si>
  <si>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</si>
  <si>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</si>
  <si>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</si>
  <si>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</si>
  <si>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</si>
  <si>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</si>
  <si>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</si>
  <si>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</si>
  <si>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</si>
  <si>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</si>
  <si>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</si>
  <si>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</si>
  <si>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</si>
  <si>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</si>
  <si>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</si>
  <si>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</si>
  <si>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</si>
  <si>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</si>
  <si>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</si>
  <si>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</si>
  <si>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</si>
  <si>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</si>
  <si>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</si>
  <si>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</si>
  <si>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</si>
  <si>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</si>
  <si>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</si>
  <si>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</si>
  <si>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</si>
  <si>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</si>
  <si>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</si>
  <si>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</si>
  <si>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</si>
  <si>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</si>
  <si>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</si>
  <si>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</si>
  <si>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</si>
  <si>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</si>
  <si>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</si>
  <si>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</si>
  <si>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</si>
  <si>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</si>
  <si>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</si>
  <si>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</si>
  <si>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</si>
  <si>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</si>
  <si>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</si>
  <si>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</si>
  <si>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</si>
  <si>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</si>
  <si>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</si>
  <si>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</si>
  <si>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</si>
  <si>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</si>
  <si>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</si>
  <si>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</si>
  <si>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</si>
  <si>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</si>
  <si>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</si>
  <si>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</si>
  <si>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</si>
  <si>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</si>
  <si>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</si>
  <si>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</si>
  <si>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</si>
  <si>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</si>
  <si>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</si>
  <si>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</si>
  <si>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</si>
  <si>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</si>
  <si>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</si>
  <si>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</si>
  <si>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</si>
  <si>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</si>
  <si>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</si>
  <si>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</si>
  <si>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</si>
  <si>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</si>
  <si>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</si>
  <si>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</si>
  <si>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</si>
  <si>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</si>
  <si>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</si>
  <si>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</si>
  <si>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</si>
  <si>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</si>
  <si>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</si>
  <si>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</si>
  <si>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</si>
  <si>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</si>
  <si>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</si>
  <si>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</si>
  <si>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</si>
  <si>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</si>
  <si>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</si>
  <si>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</si>
  <si>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</si>
  <si>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</si>
  <si>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</si>
  <si>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</si>
  <si>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</si>
  <si>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</si>
  <si>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</si>
  <si>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</si>
  <si>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</si>
  <si>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</si>
  <si>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</si>
  <si>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</si>
  <si>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</si>
  <si>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</si>
  <si>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</si>
  <si>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</si>
  <si>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</si>
  <si>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</si>
  <si>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</si>
  <si>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</si>
  <si>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</si>
  <si>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</si>
  <si>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</si>
  <si>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</si>
  <si>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</si>
  <si>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</si>
  <si>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</si>
  <si>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</si>
  <si>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</si>
  <si>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</si>
  <si>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</si>
  <si>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</si>
  <si>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</si>
  <si>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</si>
  <si>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</si>
  <si>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</si>
  <si>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</si>
  <si>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</si>
  <si>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</si>
  <si>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</si>
  <si>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</si>
  <si>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</si>
  <si>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</si>
  <si>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</si>
  <si>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</si>
  <si>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</si>
  <si>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</si>
  <si>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</si>
  <si>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</si>
  <si>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</si>
  <si>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</si>
  <si>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</si>
  <si>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</si>
  <si>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</si>
  <si>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</si>
  <si>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</si>
  <si>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</si>
  <si>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</si>
  <si>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</si>
  <si>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</si>
  <si>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</si>
  <si>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</si>
  <si>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</si>
  <si>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</si>
  <si>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</si>
  <si>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</si>
  <si>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</si>
  <si>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</si>
  <si>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</si>
  <si>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</si>
  <si>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</si>
  <si>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</si>
  <si>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</si>
  <si>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</si>
  <si>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</si>
  <si>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</si>
  <si>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</si>
  <si>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</si>
  <si>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</si>
  <si>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</si>
  <si>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</si>
  <si>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</si>
  <si>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</si>
  <si>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</si>
  <si>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</si>
  <si>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</si>
  <si>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</si>
  <si>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</si>
  <si>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</si>
  <si>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</si>
  <si>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</si>
  <si>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</si>
  <si>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</si>
  <si>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</si>
  <si>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</si>
  <si>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</si>
  <si>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</si>
  <si>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</si>
  <si>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</si>
  <si>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</si>
  <si>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</si>
  <si>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</si>
  <si>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</si>
  <si>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</si>
  <si>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</si>
  <si>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</si>
  <si>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</si>
  <si>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</si>
  <si>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</si>
  <si>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</si>
  <si>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</si>
  <si>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</si>
  <si>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</si>
  <si>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</si>
  <si>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</si>
  <si>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</si>
  <si>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</si>
  <si>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</si>
  <si>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</si>
  <si>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</si>
  <si>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</si>
  <si>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</si>
  <si>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</si>
  <si>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</si>
  <si>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</si>
  <si>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</si>
  <si>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</si>
  <si>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</si>
  <si>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</si>
  <si>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</si>
  <si>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</si>
  <si>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</si>
  <si>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</si>
  <si>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</si>
  <si>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</si>
  <si>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</si>
  <si>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</si>
  <si>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</si>
  <si>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</si>
  <si>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</si>
  <si>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</si>
  <si>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</si>
  <si>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</si>
  <si>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</si>
  <si>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</si>
  <si>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</si>
  <si>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</si>
  <si>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</si>
  <si>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</si>
  <si>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</si>
  <si>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</si>
  <si>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</si>
  <si>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</si>
  <si>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</si>
  <si>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</si>
  <si>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</si>
  <si>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</si>
  <si>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</si>
  <si>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</si>
  <si>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</si>
  <si>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</si>
  <si>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</si>
  <si>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</si>
  <si>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</si>
  <si>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</si>
  <si>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</si>
  <si>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</si>
  <si>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</si>
  <si>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</si>
  <si>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</si>
  <si>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</si>
  <si>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</si>
  <si>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</si>
  <si>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</si>
  <si>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</si>
  <si>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</si>
  <si>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</si>
  <si>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</si>
  <si>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</si>
  <si>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</si>
  <si>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</si>
  <si>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</si>
  <si>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</si>
  <si>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</si>
  <si>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</si>
  <si>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</si>
  <si>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</si>
  <si>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</si>
  <si>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</si>
  <si>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</si>
  <si>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</si>
  <si>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</si>
  <si>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</si>
  <si>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</si>
  <si>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</si>
  <si>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</si>
  <si>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</si>
  <si>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</si>
  <si>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</si>
  <si>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</si>
  <si>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</si>
  <si>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</si>
  <si>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</si>
  <si>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</si>
  <si>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</si>
  <si>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</si>
  <si>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</si>
  <si>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</si>
  <si>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</si>
  <si>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</si>
  <si>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</si>
  <si>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</si>
  <si>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</si>
  <si>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</si>
  <si>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</si>
  <si>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</si>
  <si>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</si>
  <si>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</si>
  <si>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</si>
  <si>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</si>
  <si>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</si>
  <si>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</si>
  <si>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</si>
  <si>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</si>
  <si>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</si>
  <si>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</si>
  <si>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</si>
  <si>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</si>
  <si>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</si>
  <si>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</si>
  <si>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</si>
  <si>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</si>
  <si>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</si>
  <si>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</si>
  <si>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</si>
  <si>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</si>
  <si>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</si>
  <si>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</si>
  <si>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</si>
  <si>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</si>
  <si>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</si>
  <si>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</si>
  <si>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</si>
  <si>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</si>
  <si>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</si>
  <si>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</si>
  <si>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</si>
  <si>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</si>
  <si>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</si>
  <si>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</si>
  <si>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</si>
  <si>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</si>
  <si>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</si>
  <si>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</si>
  <si>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</si>
  <si>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</si>
  <si>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</si>
  <si>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</si>
  <si>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</si>
  <si>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</si>
  <si>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</si>
  <si>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</si>
  <si>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</si>
  <si>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</si>
  <si>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</si>
  <si>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</si>
  <si>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</si>
  <si>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</si>
  <si>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</si>
  <si>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</si>
  <si>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</si>
  <si>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</si>
  <si>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</si>
  <si>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</si>
  <si>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</si>
  <si>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</si>
  <si>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</si>
  <si>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</si>
  <si>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</si>
  <si>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</si>
  <si>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</si>
  <si>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</si>
  <si>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</si>
  <si>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</si>
  <si>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</si>
  <si>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</si>
  <si>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</si>
  <si>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</si>
  <si>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</si>
  <si>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</si>
  <si>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</si>
  <si>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</si>
  <si>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</si>
  <si>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</si>
  <si>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</si>
  <si>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</si>
  <si>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</si>
  <si>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</si>
  <si>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</si>
  <si>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</si>
  <si>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</si>
  <si>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</si>
  <si>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</si>
  <si>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</si>
  <si>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</si>
  <si>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</si>
  <si>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</si>
  <si>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</si>
  <si>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</si>
  <si>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</si>
  <si>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</si>
  <si>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</si>
  <si>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</si>
  <si>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</si>
  <si>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</si>
  <si>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</si>
  <si>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</si>
  <si>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</si>
  <si>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</si>
  <si>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</si>
  <si>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</si>
  <si>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</si>
  <si>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</si>
  <si>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</si>
  <si>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</si>
  <si>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</si>
  <si>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</si>
  <si>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</si>
  <si>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</si>
  <si>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</si>
  <si>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</si>
  <si>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</si>
  <si>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</si>
  <si>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</si>
  <si>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</si>
  <si>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</si>
  <si>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</si>
  <si>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</si>
  <si>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</si>
  <si>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</si>
  <si>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</si>
  <si>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</si>
  <si>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</si>
  <si>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</si>
  <si>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</si>
  <si>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</si>
  <si>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</si>
  <si>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</si>
  <si>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</si>
  <si>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</si>
  <si>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</si>
  <si>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</si>
  <si>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</si>
  <si>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</si>
  <si>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</si>
  <si>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</si>
  <si>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</si>
  <si>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</si>
  <si>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</si>
  <si>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</si>
  <si>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</si>
  <si>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</si>
  <si>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</si>
  <si>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</si>
  <si>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</si>
  <si>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</si>
  <si>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</si>
  <si>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</si>
  <si>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</si>
  <si>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</si>
  <si>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</si>
  <si>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</si>
  <si>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</si>
  <si>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</si>
  <si>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</si>
  <si>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</si>
  <si>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</si>
  <si>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</si>
  <si>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</si>
  <si>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</si>
  <si>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</si>
  <si>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</si>
  <si>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</si>
  <si>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</si>
  <si>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</si>
  <si>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</si>
  <si>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</si>
  <si>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</si>
  <si>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</si>
  <si>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</si>
  <si>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</si>
  <si>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</si>
  <si>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</si>
  <si>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</si>
  <si>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</si>
  <si>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</si>
  <si>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</si>
  <si>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</si>
  <si>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</si>
  <si>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</si>
  <si>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</si>
  <si>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</si>
  <si>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</si>
  <si>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</si>
  <si>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</si>
  <si>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</si>
  <si>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</si>
  <si>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</si>
  <si>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</si>
  <si>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</si>
  <si>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</si>
  <si>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</si>
  <si>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</si>
  <si>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</si>
  <si>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</si>
  <si>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</si>
  <si>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</si>
  <si>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</si>
  <si>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</si>
  <si>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</si>
  <si>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</si>
  <si>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</si>
  <si>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</si>
  <si>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</si>
  <si>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</si>
  <si>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</si>
  <si>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</si>
  <si>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</si>
  <si>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</si>
  <si>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</si>
  <si>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</si>
  <si>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</si>
  <si>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</si>
  <si>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</si>
  <si>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</si>
  <si>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</si>
  <si>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</si>
  <si>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</si>
  <si>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</si>
  <si>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</si>
  <si>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</si>
  <si>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</si>
  <si>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</si>
  <si>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</si>
  <si>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</si>
  <si>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</si>
  <si>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</si>
  <si>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</si>
  <si>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</si>
  <si>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</si>
  <si>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</si>
  <si>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</si>
  <si>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</si>
  <si>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</si>
  <si>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</si>
  <si>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</si>
  <si>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</si>
  <si>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</si>
  <si>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</si>
  <si>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</si>
  <si>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</si>
  <si>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</si>
  <si>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</si>
  <si>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</si>
  <si>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</si>
  <si>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</si>
  <si>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</si>
  <si>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</si>
  <si>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</si>
  <si>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</si>
  <si>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</si>
  <si>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</si>
  <si>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</si>
  <si>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</si>
  <si>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</si>
  <si>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</si>
  <si>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</si>
  <si>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</si>
  <si>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</si>
  <si>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</si>
  <si>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</si>
  <si>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</si>
  <si>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</si>
  <si>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</si>
  <si>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</si>
  <si>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</si>
  <si>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</si>
  <si>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</si>
  <si>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</si>
  <si>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</si>
  <si>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</si>
  <si>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</si>
  <si>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</si>
  <si>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</si>
  <si>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</si>
  <si>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</si>
  <si>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</si>
  <si>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</si>
  <si>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</si>
  <si>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</si>
  <si>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</si>
  <si>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</si>
  <si>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</si>
  <si>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</si>
  <si>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</si>
  <si>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</si>
  <si>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</si>
  <si>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</si>
  <si>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</si>
  <si>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</si>
  <si>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</si>
  <si>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</si>
  <si>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</si>
  <si>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</si>
  <si>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</si>
  <si>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</si>
  <si>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</si>
  <si>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</si>
  <si>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</si>
  <si>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</si>
  <si>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</si>
  <si>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</si>
  <si>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</si>
  <si>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</si>
  <si>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</si>
  <si>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</si>
  <si>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</si>
  <si>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</si>
  <si>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</si>
  <si>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</si>
  <si>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</si>
  <si>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</si>
  <si>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</si>
  <si>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</si>
  <si>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</si>
  <si>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</si>
  <si>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</si>
  <si>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</si>
  <si>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</si>
  <si>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</si>
  <si>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</si>
  <si>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</si>
  <si>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</si>
  <si>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</si>
  <si>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</si>
  <si>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</si>
  <si>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</si>
  <si>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</si>
  <si>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</si>
  <si>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</si>
  <si>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</si>
  <si>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</si>
  <si>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</si>
  <si>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</si>
  <si>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</si>
  <si>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</si>
  <si>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</si>
  <si>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</si>
  <si>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</si>
  <si>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</si>
  <si>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</si>
  <si>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</si>
  <si>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</si>
  <si>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</si>
  <si>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</si>
  <si>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</si>
  <si>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</si>
  <si>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</si>
  <si>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</si>
  <si>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</si>
  <si>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</si>
  <si>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</si>
  <si>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</si>
  <si>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</si>
  <si>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</si>
  <si>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</si>
  <si>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</si>
  <si>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</si>
  <si>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</si>
  <si>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</si>
  <si>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</si>
  <si>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</si>
  <si>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</si>
  <si>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</si>
  <si>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</si>
  <si>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</si>
  <si>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</si>
  <si>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</si>
  <si>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</si>
  <si>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</si>
  <si>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</si>
  <si>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</si>
  <si>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</si>
  <si>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</si>
  <si>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</si>
  <si>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</si>
  <si>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</si>
  <si>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</si>
  <si>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</si>
  <si>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</si>
  <si>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</si>
  <si>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</si>
  <si>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</si>
  <si>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</si>
  <si>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</si>
  <si>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</si>
  <si>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</si>
  <si>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</si>
  <si>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</si>
  <si>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</si>
  <si>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</si>
  <si>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</si>
  <si>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</si>
  <si>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</si>
  <si>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</si>
  <si>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</si>
  <si>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</si>
  <si>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</si>
  <si>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</si>
  <si>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</si>
  <si>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</si>
  <si>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</si>
  <si>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</si>
  <si>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</si>
  <si>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</si>
  <si>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</si>
  <si>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</si>
  <si>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</si>
  <si>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</si>
  <si>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</si>
  <si>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</si>
  <si>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</si>
  <si>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</si>
  <si>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</si>
  <si>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</si>
  <si>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</si>
  <si>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</si>
  <si>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</si>
  <si>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</si>
  <si>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</si>
  <si>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</si>
  <si>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</si>
  <si>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</si>
  <si>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</si>
  <si>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</si>
  <si>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</si>
  <si>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</si>
  <si>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</si>
  <si>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</si>
  <si>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</si>
  <si>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</si>
  <si>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</si>
  <si>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</si>
  <si>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</si>
  <si>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</si>
  <si>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</si>
  <si>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</si>
  <si>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</si>
  <si>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</si>
  <si>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</si>
  <si>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</si>
  <si>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</si>
  <si>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</si>
  <si>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</si>
  <si>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</si>
  <si>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</si>
  <si>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</si>
  <si>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</si>
  <si>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</si>
  <si>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</si>
  <si>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</si>
  <si>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</si>
  <si>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</si>
  <si>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</si>
  <si>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</si>
  <si>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</si>
  <si>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</si>
  <si>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</si>
  <si>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</si>
  <si>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</si>
  <si>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</si>
  <si>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</si>
  <si>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</si>
  <si>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</si>
  <si>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</si>
  <si>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</si>
  <si>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</si>
  <si>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</si>
  <si>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</si>
  <si>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</si>
  <si>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</si>
  <si>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</si>
  <si>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</si>
  <si>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</si>
  <si>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</si>
  <si>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</si>
  <si>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</si>
  <si>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</si>
  <si>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</si>
  <si>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</si>
  <si>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</si>
  <si>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</si>
  <si>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</si>
  <si>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</si>
  <si>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</si>
  <si>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</si>
  <si>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</si>
  <si>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</si>
  <si>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</si>
  <si>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</si>
  <si>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</si>
  <si>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</si>
  <si>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</si>
  <si>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</si>
  <si>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</si>
  <si>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</si>
  <si>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</si>
  <si>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</si>
  <si>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</si>
  <si>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</si>
  <si>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</si>
  <si>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</si>
  <si>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</si>
  <si>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</si>
  <si>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</si>
  <si>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</si>
  <si>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</si>
  <si>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</si>
  <si>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</si>
  <si>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</si>
  <si>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</si>
  <si>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</si>
  <si>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</si>
  <si>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</si>
  <si>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</si>
  <si>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</si>
  <si>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</si>
  <si>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</si>
  <si>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</si>
  <si>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</si>
  <si>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</si>
  <si>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</si>
  <si>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</si>
  <si>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</si>
  <si>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</si>
  <si>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</si>
  <si>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</si>
  <si>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</si>
  <si>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</si>
  <si>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</si>
  <si>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</si>
  <si>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</si>
  <si>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</si>
  <si>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</si>
  <si>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</si>
  <si>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</si>
  <si>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</si>
  <si>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</si>
  <si>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</si>
  <si>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</si>
  <si>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</si>
  <si>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</si>
  <si>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</si>
  <si>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</si>
  <si>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</si>
  <si>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</si>
  <si>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</si>
  <si>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</si>
  <si>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</si>
  <si>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</si>
  <si>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</si>
  <si>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</si>
  <si>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</si>
  <si>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</si>
  <si>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</si>
  <si>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</si>
  <si>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</si>
  <si>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</si>
  <si>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</si>
  <si>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</si>
  <si>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</si>
  <si>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</si>
  <si>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</si>
  <si>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</si>
  <si>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</si>
  <si>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</si>
  <si>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</si>
  <si>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</si>
  <si>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</si>
  <si>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</si>
  <si>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</si>
  <si>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</si>
  <si>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</si>
  <si>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</si>
  <si>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</si>
  <si>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</si>
  <si>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</si>
  <si>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</si>
  <si>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</si>
  <si>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</si>
  <si>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</si>
  <si>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</si>
  <si>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</si>
  <si>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</si>
  <si>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</si>
  <si>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</si>
  <si>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</si>
  <si>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</si>
  <si>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</si>
  <si>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</si>
  <si>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</si>
  <si>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</si>
  <si>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</si>
  <si>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</si>
  <si>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</si>
  <si>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</si>
  <si>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</si>
  <si>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</si>
  <si>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</si>
  <si>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</si>
  <si>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</si>
  <si>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</si>
  <si>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</si>
  <si>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</si>
  <si>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</si>
  <si>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</si>
  <si>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</si>
  <si>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</si>
  <si>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</si>
  <si>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</si>
  <si>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</si>
  <si>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</si>
  <si>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</si>
  <si>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</si>
  <si>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</si>
  <si>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</si>
  <si>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</si>
  <si>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</si>
  <si>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</si>
  <si>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</si>
  <si>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</si>
  <si>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</si>
  <si>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</si>
  <si>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</si>
  <si>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</si>
  <si>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</si>
  <si>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</si>
  <si>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</si>
  <si>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</si>
  <si>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</si>
  <si>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</si>
  <si>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</si>
  <si>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</si>
  <si>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</si>
  <si>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</si>
  <si>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</si>
  <si>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</si>
  <si>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</si>
  <si>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</si>
  <si>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</si>
  <si>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</si>
  <si>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</si>
  <si>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</si>
  <si>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</si>
  <si>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</si>
  <si>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</si>
  <si>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</si>
  <si>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</si>
  <si>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</si>
  <si>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</si>
  <si>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</si>
  <si>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</si>
  <si>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</si>
  <si>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</si>
  <si>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</si>
  <si>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</si>
  <si>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</si>
  <si>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</si>
  <si>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</si>
  <si>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</si>
  <si>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</si>
  <si>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</si>
  <si>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</si>
  <si>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</si>
  <si>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</si>
  <si>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</si>
  <si>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</si>
  <si>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</si>
  <si>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</si>
  <si>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</si>
  <si>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</si>
  <si>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</si>
  <si>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</si>
  <si>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</si>
  <si>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</si>
  <si>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</si>
  <si>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</si>
  <si>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</si>
  <si>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</si>
  <si>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</si>
  <si>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</si>
  <si>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</si>
  <si>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</si>
  <si>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</si>
  <si>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</si>
  <si>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</si>
  <si>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</si>
  <si>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</si>
  <si>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</si>
  <si>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</si>
  <si>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</si>
  <si>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</si>
  <si>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</si>
  <si>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</si>
  <si>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</si>
  <si>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</si>
  <si>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</si>
  <si>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</si>
  <si>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</si>
  <si>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</si>
  <si>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</si>
  <si>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</si>
  <si>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</si>
  <si>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</si>
  <si>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</si>
  <si>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</si>
  <si>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</si>
  <si>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</si>
  <si>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</si>
  <si>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</si>
  <si>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</si>
  <si>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</si>
  <si>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</si>
  <si>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</si>
  <si>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</si>
  <si>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</si>
  <si>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</si>
  <si>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</si>
  <si>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</si>
  <si>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</si>
  <si>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</si>
  <si>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</si>
  <si>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</si>
  <si>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</si>
  <si>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</si>
  <si>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</si>
  <si>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</si>
  <si>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</si>
  <si>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</si>
  <si>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</si>
  <si>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</si>
  <si>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</si>
  <si>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</si>
  <si>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</si>
  <si>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</si>
  <si>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</si>
  <si>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</si>
  <si>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</si>
  <si>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</si>
  <si>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</si>
  <si>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</si>
  <si>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</si>
  <si>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</si>
  <si>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</si>
  <si>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</si>
  <si>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</si>
  <si>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</si>
  <si>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</si>
  <si>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</si>
  <si>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</si>
  <si>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</si>
  <si>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</si>
  <si>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</si>
  <si>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</si>
  <si>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</si>
  <si>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</si>
  <si>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</si>
  <si>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</si>
  <si>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</si>
  <si>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</si>
  <si>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</si>
  <si>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</si>
  <si>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</si>
  <si>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</si>
  <si>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</si>
  <si>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</si>
  <si>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</si>
  <si>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</si>
  <si>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</si>
  <si>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</si>
  <si>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</si>
  <si>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</si>
  <si>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</si>
  <si>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</si>
  <si>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</si>
  <si>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</si>
  <si>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</si>
  <si>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</si>
  <si>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</si>
  <si>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</si>
  <si>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</si>
  <si>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</si>
  <si>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</si>
  <si>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</si>
  <si>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</si>
  <si>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</si>
  <si>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</si>
  <si>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</si>
  <si>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</si>
  <si>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</si>
  <si>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</si>
  <si>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</si>
  <si>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</si>
  <si>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</si>
  <si>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</si>
  <si>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</si>
  <si>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</si>
  <si>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</si>
  <si>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</si>
  <si>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</si>
  <si>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</si>
  <si>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</si>
  <si>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</si>
  <si>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</si>
  <si>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</si>
  <si>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</si>
  <si>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</si>
  <si>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</si>
  <si>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</si>
  <si>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</si>
  <si>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</si>
  <si>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</si>
  <si>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</si>
  <si>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</si>
  <si>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</si>
  <si>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</si>
  <si>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</si>
  <si>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</si>
  <si>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</si>
  <si>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</si>
  <si>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</si>
  <si>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</si>
  <si>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</si>
  <si>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</si>
  <si>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</si>
  <si>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</si>
  <si>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</si>
  <si>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</si>
  <si>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</si>
  <si>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</si>
  <si>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</si>
  <si>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</si>
  <si>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</si>
  <si>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</si>
  <si>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</si>
  <si>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</si>
  <si>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</si>
  <si>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</si>
  <si>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</si>
  <si>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</si>
  <si>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</si>
  <si>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</si>
  <si>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</si>
  <si>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</si>
  <si>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</si>
  <si>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</si>
  <si>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</si>
  <si>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</si>
  <si>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</si>
  <si>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</si>
  <si>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</si>
  <si>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</si>
  <si>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</si>
  <si>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</si>
  <si>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</si>
  <si>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</si>
  <si>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</si>
  <si>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</si>
  <si>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</si>
  <si>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</si>
  <si>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</si>
  <si>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</si>
  <si>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</si>
  <si>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</si>
  <si>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</si>
  <si>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</si>
  <si>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</si>
  <si>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</si>
  <si>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</si>
  <si>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</si>
  <si>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</si>
  <si>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</si>
  <si>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</si>
  <si>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</si>
  <si>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</si>
  <si>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</si>
  <si>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</si>
  <si>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</si>
  <si>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</si>
  <si>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</si>
  <si>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</si>
  <si>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</si>
  <si>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</si>
  <si>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</si>
  <si>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</si>
  <si>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</si>
  <si>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</si>
  <si>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</si>
  <si>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</si>
  <si>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</si>
  <si>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</si>
  <si>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</si>
  <si>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</si>
  <si>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</si>
  <si>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</si>
  <si>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</si>
  <si>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</si>
  <si>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</si>
  <si>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</si>
  <si>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</si>
  <si>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</si>
  <si>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</si>
  <si>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</si>
  <si>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</si>
  <si>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</si>
  <si>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</si>
  <si>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</si>
  <si>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</si>
  <si>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</si>
  <si>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</si>
  <si>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</si>
  <si>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</si>
  <si>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</si>
  <si>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</si>
  <si>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</si>
  <si>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</si>
  <si>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</si>
  <si>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</si>
  <si>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</si>
  <si>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</si>
  <si>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</si>
  <si>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</si>
  <si>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</si>
  <si>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</si>
  <si>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</si>
  <si>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</si>
  <si>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</si>
  <si>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</si>
  <si>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</si>
  <si>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</si>
  <si>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</si>
  <si>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</si>
  <si>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</si>
  <si>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</si>
  <si>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</si>
  <si>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</si>
  <si>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</si>
  <si>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</si>
  <si>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</si>
  <si>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</si>
  <si>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</si>
  <si>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</si>
  <si>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</si>
  <si>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</si>
  <si>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</si>
  <si>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</si>
  <si>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</si>
  <si>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</si>
  <si>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</si>
  <si>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</si>
  <si>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</si>
  <si>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</si>
  <si>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</si>
  <si>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</si>
  <si>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</si>
  <si>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</si>
  <si>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</si>
  <si>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</si>
  <si>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</si>
  <si>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</si>
  <si>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</si>
  <si>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</si>
  <si>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</si>
  <si>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</si>
  <si>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</si>
  <si>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</si>
  <si>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</si>
  <si>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</si>
  <si>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</si>
  <si>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</si>
  <si>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</si>
  <si>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</si>
  <si>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</si>
  <si>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</si>
  <si>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</si>
  <si>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</si>
  <si>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</si>
  <si>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</si>
  <si>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</si>
  <si>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</si>
  <si>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</si>
  <si>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</si>
  <si>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</si>
  <si>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</si>
  <si>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</si>
  <si>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</si>
  <si>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</si>
  <si>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</si>
  <si>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</si>
  <si>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</si>
  <si>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</si>
  <si>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</si>
  <si>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</si>
  <si>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</si>
  <si>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</si>
  <si>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</si>
  <si>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</si>
  <si>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</si>
  <si>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</si>
  <si>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</si>
  <si>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</si>
  <si>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</si>
  <si>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</si>
  <si>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</si>
  <si>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</si>
  <si>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</si>
  <si>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</si>
  <si>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</si>
  <si>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</si>
  <si>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</si>
  <si>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</si>
  <si>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</si>
  <si>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</si>
  <si>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</si>
  <si>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</si>
  <si>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</si>
  <si>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</si>
  <si>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</si>
  <si>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</si>
  <si>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</si>
  <si>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</si>
  <si>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</si>
  <si>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</si>
  <si>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</si>
  <si>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</si>
  <si>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</si>
  <si>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</si>
  <si>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</si>
  <si>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</si>
  <si>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</si>
  <si>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</si>
  <si>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</si>
  <si>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</si>
  <si>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</si>
  <si>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</si>
  <si>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</si>
  <si>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</si>
  <si>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</si>
  <si>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</si>
  <si>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</si>
  <si>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</si>
  <si>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</si>
  <si>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</si>
  <si>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</si>
  <si>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</si>
  <si>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</si>
  <si>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</si>
  <si>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</si>
  <si>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</si>
  <si>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</si>
  <si>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</si>
  <si>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</si>
  <si>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</si>
  <si>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</si>
  <si>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</si>
  <si>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</si>
  <si>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</si>
  <si>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</si>
  <si>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</si>
  <si>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</si>
  <si>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</si>
  <si>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</si>
  <si>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</si>
  <si>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</si>
  <si>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</si>
  <si>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</si>
  <si>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</si>
  <si>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</si>
  <si>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</si>
  <si>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</si>
  <si>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</si>
  <si>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</si>
  <si>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</si>
  <si>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</si>
  <si>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</si>
  <si>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</si>
  <si>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</si>
  <si>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</si>
  <si>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</si>
  <si>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</si>
  <si>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</si>
  <si>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</si>
  <si>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</si>
  <si>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</si>
  <si>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</si>
  <si>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</si>
  <si>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</si>
  <si>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</si>
  <si>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</si>
  <si>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</si>
  <si>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</si>
  <si>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</si>
  <si>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</si>
  <si>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</si>
  <si>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</si>
  <si>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</si>
  <si>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</si>
  <si>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</si>
  <si>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</si>
  <si>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</si>
  <si>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</si>
  <si>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</si>
  <si>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</si>
  <si>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</si>
  <si>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</si>
  <si>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</si>
  <si>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</si>
  <si>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</si>
  <si>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</si>
  <si>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</si>
  <si>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</si>
  <si>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</si>
  <si>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</si>
  <si>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</si>
  <si>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</si>
  <si>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</si>
  <si>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</si>
  <si>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</si>
  <si>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</si>
  <si>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</si>
  <si>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</si>
  <si>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</si>
  <si>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</si>
  <si>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</si>
  <si>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</si>
  <si>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</si>
  <si>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</si>
  <si>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</si>
  <si>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</si>
  <si>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</si>
  <si>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</si>
  <si>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</si>
  <si>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</si>
  <si>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</si>
  <si>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</si>
  <si>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</si>
  <si>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</si>
  <si>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</si>
  <si>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</si>
  <si>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</si>
  <si>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</si>
  <si>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</si>
  <si>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</si>
  <si>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</si>
  <si>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</si>
  <si>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</si>
  <si>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</si>
  <si>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</si>
  <si>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</si>
  <si>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</si>
  <si>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</si>
  <si>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</si>
  <si>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</si>
  <si>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</si>
  <si>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</si>
  <si>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</si>
  <si>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</si>
  <si>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</si>
  <si>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</si>
  <si>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</si>
  <si>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</si>
  <si>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</si>
  <si>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</si>
  <si>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</si>
  <si>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</si>
  <si>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</si>
  <si>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</si>
  <si>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</si>
  <si>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</si>
  <si>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</si>
  <si>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</si>
  <si>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</si>
  <si>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</si>
  <si>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</si>
  <si>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</si>
  <si>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</si>
  <si>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</si>
  <si>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</si>
  <si>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</si>
  <si>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</si>
  <si>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</si>
  <si>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</si>
  <si>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</si>
  <si>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</si>
  <si>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</si>
  <si>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</si>
  <si>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</si>
  <si>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</si>
  <si>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</si>
  <si>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</si>
  <si>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</si>
  <si>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</si>
  <si>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</si>
  <si>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</si>
  <si>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</si>
  <si>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</si>
  <si>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</si>
  <si>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</si>
  <si>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</si>
  <si>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</si>
  <si>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</si>
  <si>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</si>
  <si>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</si>
  <si>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</si>
  <si>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</si>
  <si>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</si>
  <si>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</si>
  <si>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</si>
  <si>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</si>
  <si>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</si>
  <si>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</si>
  <si>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</si>
  <si>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</si>
  <si>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</si>
  <si>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</si>
  <si>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</si>
  <si>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</si>
  <si>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</si>
  <si>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</si>
  <si>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</si>
  <si>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</si>
  <si>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</si>
  <si>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</si>
  <si>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</si>
  <si>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</si>
  <si>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</si>
  <si>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</si>
  <si>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</si>
  <si>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</si>
  <si>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</si>
  <si>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</si>
  <si>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</si>
  <si>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</si>
  <si>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</si>
  <si>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</si>
  <si>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</si>
  <si>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</si>
  <si>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</si>
  <si>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</si>
  <si>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</si>
  <si>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</si>
  <si>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</si>
  <si>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</si>
  <si>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</si>
  <si>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</si>
  <si>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</si>
  <si>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</si>
  <si>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</si>
  <si>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</si>
  <si>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</si>
  <si>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</si>
  <si>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</si>
  <si>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</si>
  <si>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</si>
  <si>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</si>
  <si>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</si>
  <si>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</si>
  <si>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</si>
  <si>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</si>
  <si>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</si>
  <si>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</si>
  <si>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</si>
  <si>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</si>
  <si>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</si>
  <si>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</si>
  <si>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</si>
  <si>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</si>
  <si>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</si>
  <si>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</si>
  <si>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</si>
  <si>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</si>
  <si>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</si>
  <si>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</si>
  <si>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</si>
  <si>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</si>
  <si>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</si>
  <si>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</si>
  <si>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</si>
  <si>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</si>
  <si>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</si>
  <si>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</si>
  <si>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</si>
  <si>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</si>
  <si>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</si>
  <si>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</si>
  <si>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</si>
  <si>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</si>
  <si>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</si>
  <si>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</si>
  <si>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</si>
  <si>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</si>
  <si>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</si>
  <si>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</si>
  <si>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</si>
  <si>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</si>
  <si>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</si>
  <si>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</si>
  <si>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</si>
  <si>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</si>
  <si>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</si>
  <si>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</si>
  <si>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</si>
  <si>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</si>
  <si>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</si>
  <si>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</si>
  <si>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</si>
  <si>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</si>
  <si>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</si>
  <si>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</si>
  <si>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</si>
  <si>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</si>
  <si>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</si>
  <si>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</si>
  <si>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</si>
  <si>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</si>
  <si>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</si>
  <si>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</si>
  <si>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</si>
  <si>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</si>
  <si>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</si>
  <si>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</si>
  <si>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</si>
  <si>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</si>
  <si>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</si>
  <si>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</si>
  <si>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</si>
  <si>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</si>
  <si>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</si>
  <si>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</si>
  <si>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</si>
  <si>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</si>
  <si>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</si>
  <si>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</si>
  <si>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</si>
  <si>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</si>
  <si>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</si>
  <si>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</si>
  <si>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</si>
  <si>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</si>
  <si>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</si>
  <si>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</si>
  <si>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</si>
  <si>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</si>
  <si>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</si>
  <si>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</si>
  <si>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</si>
  <si>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</si>
  <si>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</si>
  <si>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</si>
  <si>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</si>
  <si>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</si>
  <si>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</si>
  <si>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</si>
  <si>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</si>
  <si>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</si>
  <si>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</si>
  <si>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</si>
  <si>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</si>
  <si>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</si>
  <si>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</si>
  <si>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</si>
  <si>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</si>
  <si>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</si>
  <si>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</si>
  <si>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</si>
  <si>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</si>
  <si>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</si>
  <si>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</si>
  <si>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</si>
  <si>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</si>
  <si>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</si>
  <si>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</si>
  <si>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</si>
  <si>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</si>
  <si>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</si>
  <si>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</si>
  <si>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</si>
  <si>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</si>
  <si>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</si>
  <si>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</si>
  <si>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</si>
  <si>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</si>
  <si>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</si>
  <si>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</si>
  <si>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</si>
  <si>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</si>
  <si>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</si>
  <si>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</si>
  <si>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</si>
  <si>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</si>
  <si>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</si>
  <si>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</si>
  <si>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</si>
  <si>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</si>
  <si>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</si>
  <si>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</si>
  <si>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</si>
  <si>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</si>
  <si>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</si>
  <si>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</si>
  <si>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</si>
  <si>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</si>
  <si>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</si>
  <si>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</si>
  <si>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</si>
  <si>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</si>
  <si>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</si>
  <si>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</si>
  <si>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</si>
  <si>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</si>
  <si>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</si>
  <si>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</si>
  <si>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</si>
  <si>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</si>
  <si>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</si>
  <si>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</si>
  <si>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</si>
  <si>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</si>
  <si>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</si>
  <si>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</si>
  <si>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</si>
  <si>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</si>
  <si>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</si>
  <si>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</si>
  <si>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</si>
  <si>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</si>
  <si>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</si>
  <si>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</si>
  <si>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</si>
  <si>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</si>
  <si>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</si>
  <si>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</si>
  <si>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</si>
  <si>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</si>
  <si>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</si>
  <si>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</si>
  <si>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</si>
  <si>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</si>
  <si>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</si>
  <si>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</si>
  <si>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</si>
  <si>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</si>
  <si>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</si>
  <si>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</si>
  <si>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</si>
  <si>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</si>
  <si>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</si>
  <si>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</si>
  <si>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</si>
  <si>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</si>
  <si>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</si>
  <si>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</si>
  <si>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</si>
  <si>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</si>
  <si>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</si>
  <si>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</si>
  <si>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</si>
  <si>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</si>
  <si>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</si>
  <si>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</si>
  <si>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</si>
  <si>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</si>
  <si>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</si>
  <si>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</si>
  <si>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</si>
  <si>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</si>
  <si>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</si>
  <si>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</si>
  <si>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</si>
  <si>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</si>
  <si>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</si>
  <si>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</si>
  <si>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</si>
  <si>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</si>
  <si>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</si>
  <si>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</si>
  <si>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</si>
  <si>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</si>
  <si>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</si>
  <si>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</si>
  <si>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</si>
  <si>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</si>
  <si>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</si>
  <si>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</si>
  <si>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</si>
  <si>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</si>
  <si>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</si>
  <si>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</si>
  <si>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</si>
  <si>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</si>
  <si>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</si>
  <si>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</si>
  <si>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</si>
  <si>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</si>
  <si>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</si>
  <si>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</si>
  <si>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</si>
  <si>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</si>
  <si>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</si>
  <si>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</si>
  <si>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</si>
  <si>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</si>
  <si>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</si>
  <si>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</si>
  <si>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</si>
  <si>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</si>
  <si>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</si>
  <si>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</si>
  <si>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</si>
  <si>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</si>
  <si>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</si>
  <si>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</si>
  <si>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</si>
  <si>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</si>
  <si>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</si>
  <si>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</si>
  <si>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</si>
  <si>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</si>
  <si>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</si>
  <si>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</si>
  <si>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</si>
  <si>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</si>
  <si>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</si>
  <si>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</si>
  <si>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</si>
  <si>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</si>
  <si>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</si>
  <si>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</si>
  <si>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</si>
  <si>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</si>
  <si>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</si>
  <si>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</si>
  <si>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</si>
  <si>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</si>
  <si>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</si>
  <si>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</si>
  <si>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</si>
  <si>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</si>
  <si>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</si>
  <si>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</si>
  <si>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</si>
  <si>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</si>
  <si>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</si>
  <si>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</si>
  <si>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</si>
  <si>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</si>
  <si>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</si>
  <si>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</si>
  <si>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</si>
  <si>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</si>
  <si>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</si>
  <si>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</si>
  <si>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</si>
  <si>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</si>
  <si>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</si>
  <si>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</si>
  <si>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</si>
  <si>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</si>
  <si>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</si>
  <si>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</si>
  <si>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</si>
  <si>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</si>
  <si>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</si>
  <si>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</si>
  <si>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</si>
  <si>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</si>
  <si>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</si>
  <si>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</si>
  <si>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</si>
  <si>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</si>
  <si>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</si>
  <si>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</si>
  <si>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</si>
  <si>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</si>
  <si>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</si>
  <si>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</si>
  <si>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</si>
  <si>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</si>
  <si>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</si>
  <si>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</si>
  <si>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</si>
  <si>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</si>
  <si>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</si>
  <si>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</si>
  <si>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</si>
  <si>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</si>
  <si>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</si>
  <si>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</si>
  <si>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</si>
  <si>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</si>
  <si>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</si>
  <si>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</si>
  <si>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</si>
  <si>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</si>
  <si>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</si>
  <si>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</si>
  <si>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</si>
  <si>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</si>
  <si>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</si>
  <si>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</si>
  <si>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</si>
  <si>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</si>
  <si>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</si>
  <si>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</si>
  <si>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</si>
  <si>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</si>
  <si>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</si>
  <si>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</si>
  <si>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</si>
  <si>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</si>
  <si>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</si>
  <si>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</si>
  <si>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</si>
  <si>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</si>
  <si>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</si>
  <si>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</si>
  <si>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</si>
  <si>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</si>
  <si>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</si>
  <si>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</si>
  <si>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</si>
  <si>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</si>
  <si>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</si>
  <si>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</si>
  <si>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</si>
  <si>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</si>
  <si>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</si>
  <si>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</si>
  <si>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</si>
  <si>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</si>
  <si>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</si>
  <si>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</si>
  <si>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</si>
  <si>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</si>
  <si>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</si>
  <si>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</si>
  <si>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</si>
  <si>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</si>
  <si>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</si>
  <si>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</si>
  <si>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</si>
  <si>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</si>
  <si>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</si>
  <si>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</si>
  <si>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</si>
  <si>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</si>
  <si>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</si>
  <si>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</si>
  <si>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</si>
  <si>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</si>
  <si>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</si>
  <si>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</si>
  <si>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</si>
  <si>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</si>
  <si>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</si>
  <si>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</si>
  <si>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</si>
  <si>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</si>
  <si>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</si>
  <si>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</si>
  <si>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</si>
  <si>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</si>
  <si>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</si>
  <si>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</si>
  <si>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</si>
  <si>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</si>
  <si>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</si>
  <si>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</si>
  <si>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</si>
  <si>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</si>
  <si>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</si>
  <si>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</si>
  <si>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</si>
  <si>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</si>
  <si>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</si>
  <si>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</si>
  <si>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</si>
  <si>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</si>
  <si>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</si>
  <si>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</si>
  <si>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</si>
  <si>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</si>
  <si>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</si>
  <si>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</si>
  <si>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</si>
  <si>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</si>
  <si>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</si>
  <si>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</si>
  <si>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</si>
  <si>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</si>
  <si>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</si>
  <si>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</si>
  <si>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</si>
  <si>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</si>
  <si>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</si>
  <si>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</si>
  <si>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</si>
  <si>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</si>
  <si>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</si>
  <si>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</si>
  <si>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</si>
  <si>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</si>
  <si>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</si>
  <si>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</si>
  <si>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</si>
  <si>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</si>
  <si>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</si>
  <si>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</si>
  <si>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</si>
  <si>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</si>
  <si>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</si>
  <si>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</si>
  <si>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</si>
  <si>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</si>
  <si>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</si>
  <si>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</si>
  <si>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</si>
  <si>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</si>
  <si>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</si>
  <si>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</si>
  <si>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</si>
  <si>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</si>
  <si>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</si>
  <si>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</si>
  <si>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</si>
  <si>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</si>
  <si>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</si>
  <si>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</si>
  <si>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</si>
  <si>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</si>
  <si>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</si>
  <si>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</si>
  <si>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</si>
  <si>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</si>
  <si>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</si>
  <si>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</si>
  <si>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</si>
  <si>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</si>
  <si>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</si>
  <si>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</si>
  <si>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</si>
  <si>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</si>
  <si>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</si>
  <si>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</si>
  <si>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</si>
  <si>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</si>
  <si>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</si>
  <si>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</si>
  <si>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</si>
  <si>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</si>
  <si>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</si>
  <si>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</si>
  <si>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</si>
  <si>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</si>
  <si>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</si>
  <si>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</si>
  <si>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</si>
  <si>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</si>
  <si>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</si>
  <si>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</si>
  <si>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</si>
  <si>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</si>
  <si>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</si>
  <si>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</si>
  <si>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</si>
  <si>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</si>
  <si>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</si>
  <si>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</si>
  <si>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</si>
  <si>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</si>
  <si>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</si>
  <si>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</si>
  <si>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</si>
  <si>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</si>
  <si>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</si>
  <si>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</si>
  <si>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</si>
  <si>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</si>
  <si>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</si>
  <si>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</si>
  <si>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</si>
  <si>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</si>
  <si>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</si>
  <si>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</si>
  <si>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</si>
  <si>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</si>
  <si>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</si>
  <si>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</si>
  <si>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</si>
  <si>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</si>
  <si>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</si>
  <si>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</si>
  <si>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</si>
  <si>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</si>
  <si>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</si>
  <si>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</si>
  <si>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</si>
  <si>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</si>
  <si>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</si>
  <si>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</si>
  <si>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</si>
  <si>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</si>
  <si>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</si>
  <si>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</si>
  <si>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</si>
  <si>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</si>
  <si>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</si>
  <si>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</si>
  <si>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</si>
  <si>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</si>
  <si>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</si>
  <si>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</si>
  <si>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</si>
  <si>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</si>
  <si>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</si>
  <si>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</si>
  <si>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</si>
  <si>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</si>
  <si>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</si>
  <si>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</si>
  <si>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</si>
  <si>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</si>
  <si>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</si>
  <si>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</si>
  <si>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</si>
  <si>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</si>
  <si>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</si>
  <si>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</si>
  <si>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</si>
  <si>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</si>
  <si>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</si>
  <si>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</si>
  <si>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</si>
  <si>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</si>
  <si>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</si>
  <si>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</si>
  <si>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</si>
  <si>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</si>
  <si>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</si>
  <si>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</si>
  <si>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</si>
  <si>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</si>
  <si>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</si>
  <si>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</si>
  <si>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</si>
  <si>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</si>
  <si>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</si>
  <si>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</si>
  <si>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</si>
  <si>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</si>
  <si>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</si>
  <si>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</si>
  <si>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</si>
  <si>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</si>
  <si>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</si>
  <si>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</si>
  <si>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</si>
  <si>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</si>
  <si>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</si>
  <si>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</si>
  <si>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</si>
  <si>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</si>
  <si>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</si>
  <si>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</si>
  <si>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</si>
  <si>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</si>
  <si>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</si>
  <si>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</si>
  <si>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</si>
  <si>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</si>
  <si>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</si>
  <si>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</si>
  <si>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</si>
  <si>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</si>
  <si>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</si>
  <si>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</si>
  <si>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</si>
  <si>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</si>
  <si>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</si>
  <si>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</si>
  <si>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</si>
  <si>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</si>
  <si>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</si>
  <si>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</si>
  <si>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</si>
  <si>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</si>
  <si>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</si>
  <si>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</si>
  <si>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</si>
  <si>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</si>
  <si>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</si>
  <si>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</si>
  <si>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</si>
  <si>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</si>
  <si>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</si>
  <si>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</si>
  <si>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</si>
  <si>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</si>
  <si>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</si>
  <si>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</si>
  <si>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</si>
  <si>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</si>
  <si>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</si>
  <si>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</si>
  <si>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</si>
  <si>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</si>
  <si>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</si>
  <si>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</si>
  <si>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</si>
  <si>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</si>
  <si>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</si>
  <si>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</si>
  <si>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</si>
  <si>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</si>
  <si>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</si>
  <si>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</si>
  <si>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</si>
  <si>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</si>
  <si>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</si>
  <si>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</si>
  <si>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</si>
  <si>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</si>
  <si>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</si>
  <si>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</si>
  <si>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</si>
  <si>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</si>
  <si>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</si>
  <si>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</si>
  <si>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</si>
  <si>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</si>
  <si>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</si>
  <si>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</si>
  <si>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</si>
  <si>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</si>
  <si>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</si>
  <si>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</si>
  <si>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</si>
  <si>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</si>
  <si>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</si>
  <si>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</si>
  <si>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</si>
  <si>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</si>
  <si>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</si>
  <si>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</si>
  <si>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</si>
  <si>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</si>
  <si>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</si>
  <si>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</si>
  <si>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</si>
  <si>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</si>
  <si>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</si>
  <si>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</si>
  <si>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</si>
  <si>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</si>
  <si>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</si>
  <si>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</si>
  <si>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</si>
  <si>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</si>
  <si>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</si>
  <si>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</si>
  <si>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</si>
  <si>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</si>
  <si>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</si>
  <si>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</si>
  <si>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</si>
  <si>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</si>
  <si>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</si>
  <si>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</si>
  <si>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</si>
  <si>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</si>
  <si>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</si>
  <si>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</si>
  <si>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</si>
  <si>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</si>
  <si>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</si>
  <si>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</si>
  <si>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</si>
  <si>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</si>
  <si>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</si>
  <si>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</si>
  <si>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</si>
  <si>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</si>
  <si>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</si>
  <si>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</si>
  <si>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</si>
  <si>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</si>
  <si>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</si>
  <si>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</si>
  <si>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</si>
  <si>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</si>
  <si>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</si>
  <si>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</si>
  <si>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</si>
  <si>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</si>
  <si>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</si>
  <si>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</si>
  <si>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</si>
  <si>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</si>
  <si>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</si>
  <si>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</si>
  <si>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</si>
  <si>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</si>
  <si>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</si>
  <si>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</si>
  <si>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</si>
  <si>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</si>
  <si>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</si>
  <si>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</si>
  <si>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</si>
  <si>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</si>
  <si>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</si>
  <si>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</si>
  <si>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</si>
  <si>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</si>
  <si>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</si>
  <si>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</si>
  <si>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</si>
  <si>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</si>
  <si>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</si>
  <si>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</si>
  <si>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</si>
  <si>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</si>
  <si>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</si>
  <si>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</si>
  <si>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</si>
  <si>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</si>
  <si>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</si>
  <si>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</si>
  <si>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</si>
  <si>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</si>
  <si>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</si>
  <si>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</si>
  <si>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</si>
  <si>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</si>
  <si>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</si>
  <si>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</si>
  <si>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</si>
  <si>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</si>
  <si>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</si>
  <si>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</si>
  <si>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</si>
  <si>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</si>
  <si>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</si>
  <si>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</si>
  <si>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</si>
  <si>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</si>
  <si>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</si>
  <si>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</si>
  <si>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</si>
  <si>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</si>
  <si>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</si>
  <si>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</si>
  <si>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</si>
  <si>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</si>
  <si>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</si>
  <si>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</si>
  <si>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</si>
  <si>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</si>
  <si>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</si>
  <si>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</si>
  <si>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</si>
  <si>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</si>
  <si>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</si>
  <si>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</si>
  <si>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</si>
  <si>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</si>
  <si>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</si>
  <si>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</si>
  <si>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</si>
  <si>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</si>
  <si>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</si>
  <si>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</si>
  <si>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</si>
  <si>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</si>
  <si>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</si>
  <si>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</si>
  <si>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</si>
  <si>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</si>
  <si>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</si>
  <si>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</si>
  <si>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</si>
  <si>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</si>
  <si>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</si>
  <si>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</si>
  <si>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</si>
  <si>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</si>
  <si>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</si>
  <si>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</si>
  <si>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</si>
  <si>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</si>
  <si>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</si>
  <si>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</si>
  <si>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</si>
  <si>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</si>
  <si>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</si>
  <si>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</si>
  <si>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</si>
  <si>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</si>
  <si>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</si>
  <si>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</si>
  <si>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</si>
  <si>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</si>
  <si>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</si>
  <si>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</si>
  <si>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</si>
  <si>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</si>
  <si>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</si>
  <si>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</si>
  <si>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</si>
  <si>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</si>
  <si>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</si>
  <si>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</si>
  <si>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</si>
  <si>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</si>
  <si>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</si>
  <si>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</si>
  <si>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</si>
  <si>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</si>
  <si>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</si>
  <si>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</si>
  <si>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</si>
  <si>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</si>
  <si>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</si>
  <si>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</si>
  <si>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</si>
  <si>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</si>
  <si>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</si>
  <si>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</si>
  <si>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</si>
  <si>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</si>
  <si>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</si>
  <si>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</si>
  <si>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</si>
  <si>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</si>
  <si>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</si>
  <si>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</si>
  <si>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</si>
  <si>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</si>
  <si>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</si>
  <si>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</si>
  <si>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</si>
  <si>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</si>
  <si>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</si>
  <si>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</si>
  <si>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</si>
  <si>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</si>
  <si>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</si>
  <si>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</si>
  <si>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</si>
  <si>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</si>
  <si>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</si>
  <si>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</si>
  <si>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</si>
  <si>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</si>
  <si>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</si>
  <si>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</si>
  <si>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</si>
  <si>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</si>
  <si>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</si>
  <si>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</si>
  <si>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</si>
  <si>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</si>
  <si>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</si>
  <si>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</si>
  <si>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</si>
  <si>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</si>
  <si>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</si>
  <si>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</si>
  <si>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</si>
  <si>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</si>
  <si>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</si>
  <si>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</si>
  <si>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</si>
  <si>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</si>
  <si>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</si>
  <si>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</si>
  <si>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</si>
  <si>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</si>
  <si>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</si>
  <si>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</si>
  <si>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</si>
  <si>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</si>
  <si>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</si>
  <si>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</si>
  <si>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</si>
  <si>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</si>
  <si>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</si>
  <si>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</si>
  <si>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</si>
  <si>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</si>
  <si>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</si>
  <si>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</si>
  <si>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</si>
  <si>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</si>
  <si>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</si>
  <si>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</si>
  <si>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</si>
  <si>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</si>
  <si>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</si>
  <si>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</si>
  <si>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</si>
  <si>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</si>
  <si>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</si>
  <si>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</si>
  <si>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</si>
  <si>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</si>
  <si>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</si>
  <si>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</si>
  <si>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</si>
  <si>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</si>
  <si>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</si>
  <si>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</si>
  <si>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</si>
  <si>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</si>
  <si>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</si>
  <si>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</si>
  <si>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</si>
  <si>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</si>
  <si>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</si>
  <si>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</si>
  <si>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</si>
  <si>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</si>
  <si>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</si>
  <si>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</si>
  <si>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</si>
  <si>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</si>
  <si>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</si>
  <si>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</si>
  <si>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</si>
  <si>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</si>
  <si>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</si>
  <si>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</si>
  <si>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</si>
  <si>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</si>
  <si>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</si>
  <si>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</si>
  <si>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</si>
  <si>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</si>
  <si>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</si>
  <si>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</si>
  <si>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</si>
  <si>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</si>
  <si>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</si>
  <si>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</si>
  <si>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</si>
  <si>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</si>
  <si>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</si>
  <si>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</si>
  <si>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</si>
  <si>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</si>
  <si>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</si>
  <si>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</si>
  <si>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</si>
  <si>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</si>
  <si>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</si>
  <si>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</si>
  <si>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</si>
  <si>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</si>
  <si>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</si>
  <si>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</si>
  <si>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</si>
  <si>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</si>
  <si>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</si>
  <si>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</si>
  <si>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</si>
  <si>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</si>
  <si>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</si>
  <si>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</si>
  <si>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</si>
  <si>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</si>
  <si>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</si>
  <si>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</si>
  <si>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</si>
  <si>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</si>
  <si>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</si>
  <si>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</si>
  <si>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</si>
  <si>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</si>
  <si>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</si>
  <si>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</si>
  <si>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</si>
  <si>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</si>
  <si>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</si>
  <si>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</si>
  <si>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</si>
  <si>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</si>
  <si>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</si>
  <si>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</si>
  <si>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</si>
  <si>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</si>
  <si>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</si>
  <si>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</si>
  <si>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</si>
  <si>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</si>
  <si>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</si>
  <si>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</si>
  <si>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</si>
  <si>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</si>
  <si>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</si>
  <si>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</si>
  <si>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</si>
  <si>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</si>
  <si>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</si>
  <si>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</si>
  <si>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</si>
  <si>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</si>
  <si>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</si>
  <si>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</si>
  <si>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</si>
  <si>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</si>
  <si>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</si>
  <si>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</si>
  <si>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</si>
  <si>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</si>
  <si>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</si>
  <si>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</si>
  <si>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</si>
  <si>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</si>
  <si>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</si>
  <si>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</si>
  <si>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</si>
  <si>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</si>
  <si>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</si>
  <si>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</si>
  <si>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</si>
  <si>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</si>
  <si>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</si>
  <si>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</si>
  <si>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</si>
  <si>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</si>
  <si>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</si>
  <si>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</si>
  <si>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</si>
  <si>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</si>
  <si>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</si>
  <si>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</si>
  <si>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</si>
  <si>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</si>
  <si>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</si>
  <si>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</si>
  <si>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</si>
  <si>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</si>
  <si>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</si>
  <si>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</si>
  <si>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</si>
  <si>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</si>
  <si>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</si>
  <si>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</si>
  <si>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</si>
  <si>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</si>
  <si>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</si>
  <si>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</si>
  <si>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</si>
  <si>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</si>
  <si>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</si>
  <si>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</si>
  <si>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</si>
  <si>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</si>
  <si>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</si>
  <si>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</si>
  <si>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</si>
  <si>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</si>
  <si>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</si>
  <si>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</si>
  <si>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</si>
  <si>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</si>
  <si>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</si>
  <si>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</si>
  <si>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</si>
  <si>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</si>
  <si>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</si>
  <si>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</si>
  <si>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</si>
  <si>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</si>
  <si>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</si>
  <si>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</si>
  <si>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</si>
  <si>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</si>
  <si>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</si>
  <si>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</si>
  <si>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</si>
  <si>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</si>
  <si>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</si>
  <si>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</si>
  <si>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</si>
  <si>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</si>
  <si>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</si>
  <si>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</si>
  <si>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</si>
  <si>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</si>
  <si>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</si>
  <si>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</si>
  <si>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</si>
  <si>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</si>
  <si>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</si>
  <si>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</si>
  <si>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</si>
  <si>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</si>
  <si>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</si>
  <si>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</si>
  <si>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</si>
  <si>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</si>
  <si>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</si>
  <si>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</si>
  <si>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</si>
  <si>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</si>
  <si>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</si>
  <si>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</si>
  <si>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</si>
  <si>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</si>
  <si>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</si>
  <si>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</si>
  <si>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</si>
  <si>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</si>
  <si>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</si>
  <si>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</si>
  <si>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</si>
  <si>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</si>
  <si>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</si>
  <si>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</si>
  <si>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</si>
  <si>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</si>
  <si>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</si>
  <si>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</si>
  <si>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</si>
  <si>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</si>
  <si>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</si>
  <si>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</si>
  <si>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</si>
  <si>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</si>
  <si>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</si>
  <si>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</si>
  <si>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</si>
  <si>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</si>
  <si>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</si>
  <si>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</si>
  <si>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</si>
  <si>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</si>
  <si>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</si>
  <si>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</si>
  <si>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</si>
  <si>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</si>
  <si>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</si>
  <si>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</si>
  <si>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</si>
  <si>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</si>
  <si>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</si>
  <si>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</si>
  <si>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</si>
  <si>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</si>
  <si>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</si>
  <si>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</si>
  <si>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</si>
  <si>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</si>
  <si>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</si>
  <si>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</si>
  <si>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</si>
  <si>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</si>
  <si>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</si>
  <si>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</si>
  <si>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</si>
  <si>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</si>
  <si>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</si>
  <si>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</si>
  <si>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</si>
  <si>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</si>
  <si>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</si>
  <si>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</si>
  <si>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</si>
  <si>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</si>
  <si>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</si>
  <si>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</si>
  <si>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</si>
  <si>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</si>
  <si>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</si>
  <si>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</si>
  <si>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</si>
  <si>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</si>
  <si>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</si>
  <si>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</si>
  <si>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</si>
  <si>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</si>
  <si>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</si>
  <si>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</si>
  <si>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</si>
  <si>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</si>
  <si>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</si>
  <si>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</si>
  <si>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</si>
  <si>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</si>
  <si>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</si>
  <si>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</si>
  <si>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</si>
  <si>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</si>
  <si>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</si>
  <si>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</si>
  <si>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</si>
  <si>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</si>
  <si>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</si>
  <si>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</si>
  <si>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</si>
  <si>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</si>
  <si>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</si>
  <si>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</si>
  <si>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</si>
  <si>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</si>
  <si>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</si>
  <si>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</si>
  <si>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</si>
  <si>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</si>
  <si>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</si>
  <si>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</si>
  <si>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</si>
  <si>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</si>
  <si>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</si>
  <si>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</si>
  <si>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</si>
  <si>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</si>
  <si>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</si>
  <si>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</si>
  <si>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</si>
  <si>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</si>
  <si>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</si>
  <si>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</si>
  <si>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</si>
  <si>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</si>
  <si>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</si>
  <si>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</si>
  <si>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</si>
  <si>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</si>
  <si>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</si>
  <si>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</si>
  <si>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</si>
  <si>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</si>
  <si>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</si>
  <si>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</si>
  <si>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</si>
  <si>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</si>
  <si>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</si>
  <si>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</si>
  <si>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</si>
  <si>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</si>
  <si>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</si>
  <si>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</si>
  <si>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</si>
  <si>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</si>
  <si>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</si>
  <si>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</si>
  <si>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</si>
  <si>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</si>
  <si>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</si>
  <si>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</si>
  <si>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</si>
  <si>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</si>
  <si>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</si>
  <si>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</si>
  <si>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</si>
  <si>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</si>
  <si>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</si>
  <si>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</si>
  <si>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</si>
  <si>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</si>
  <si>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</si>
  <si>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</si>
  <si>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</si>
  <si>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</si>
  <si>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</si>
  <si>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</si>
  <si>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</si>
  <si>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</si>
  <si>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</si>
  <si>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</si>
  <si>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</si>
  <si>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</si>
  <si>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</si>
  <si>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</si>
  <si>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</si>
  <si>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</si>
  <si>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</si>
  <si>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</si>
  <si>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</si>
  <si>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</si>
  <si>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</si>
  <si>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</si>
  <si>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</si>
  <si>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</si>
  <si>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</si>
  <si>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</si>
  <si>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</si>
  <si>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</si>
  <si>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</si>
  <si>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</si>
  <si>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</si>
  <si>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</si>
  <si>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</si>
  <si>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</si>
  <si>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</si>
  <si>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</si>
  <si>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</si>
  <si>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</si>
  <si>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</si>
  <si>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</si>
  <si>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</si>
  <si>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</si>
  <si>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</si>
  <si>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</si>
  <si>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</si>
  <si>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</si>
  <si>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</si>
  <si>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</si>
  <si>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</si>
  <si>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</si>
  <si>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</si>
  <si>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</si>
  <si>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</si>
  <si>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</si>
  <si>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</si>
  <si>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</si>
  <si>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</si>
  <si>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</si>
  <si>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</si>
  <si>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</si>
  <si>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</si>
  <si>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</si>
  <si>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</si>
  <si>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</si>
  <si>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</si>
  <si>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</si>
  <si>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</si>
  <si>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</si>
  <si>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</si>
  <si>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</si>
  <si>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</si>
  <si>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</si>
  <si>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</si>
  <si>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</si>
  <si>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</si>
  <si>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</si>
  <si>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</si>
  <si>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</si>
  <si>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</si>
  <si>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</si>
  <si>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</si>
  <si>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</si>
  <si>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</si>
  <si>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</si>
  <si>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</si>
  <si>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</si>
  <si>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</si>
  <si>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</si>
  <si>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</si>
  <si>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</si>
  <si>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</si>
  <si>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</si>
  <si>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</si>
  <si>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</si>
  <si>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</si>
  <si>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</si>
  <si>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</si>
  <si>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</si>
  <si>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</si>
  <si>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</si>
  <si>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</si>
  <si>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</si>
  <si>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</si>
  <si>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</si>
  <si>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</si>
  <si>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</si>
  <si>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</si>
  <si>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</si>
  <si>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</si>
  <si>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</si>
  <si>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</si>
  <si>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</si>
  <si>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</si>
  <si>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</si>
  <si>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</si>
  <si>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</si>
  <si>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</si>
  <si>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</si>
  <si>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</si>
  <si>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</si>
  <si>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</si>
  <si>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</si>
  <si>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</si>
  <si>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</si>
  <si>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</si>
  <si>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</si>
  <si>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</si>
  <si>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</si>
  <si>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</si>
  <si>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</si>
  <si>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</si>
  <si>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</si>
  <si>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</si>
  <si>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</si>
  <si>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</si>
  <si>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</si>
  <si>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</si>
  <si>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</si>
  <si>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</si>
  <si>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</si>
  <si>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</si>
  <si>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</si>
  <si>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</si>
  <si>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</si>
  <si>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</si>
  <si>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</si>
  <si>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</si>
  <si>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</si>
  <si>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</si>
  <si>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</si>
  <si>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</si>
  <si>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</si>
  <si>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</si>
  <si>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</si>
  <si>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</si>
  <si>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</si>
  <si>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</si>
  <si>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</si>
  <si>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</si>
  <si>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</si>
  <si>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</si>
  <si>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</si>
  <si>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</si>
  <si>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</si>
  <si>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</si>
  <si>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</si>
  <si>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</si>
  <si>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</si>
  <si>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</si>
  <si>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</si>
  <si>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</si>
  <si>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</si>
  <si>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</si>
  <si>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</si>
  <si>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</si>
  <si>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</si>
  <si>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</si>
  <si>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</si>
  <si>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</si>
  <si>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</si>
  <si>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</si>
  <si>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</si>
  <si>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</si>
  <si>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</si>
  <si>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</si>
  <si>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</si>
  <si>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</si>
  <si>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</si>
  <si>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</si>
  <si>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</si>
  <si>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</si>
  <si>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</si>
  <si>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</si>
  <si>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</si>
  <si>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</si>
  <si>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</si>
  <si>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</si>
  <si>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</si>
  <si>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</si>
  <si>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</si>
  <si>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</si>
  <si>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</si>
  <si>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</si>
  <si>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</si>
  <si>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</si>
  <si>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</si>
  <si>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</si>
  <si>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</si>
  <si>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</si>
  <si>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</si>
  <si>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</si>
  <si>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</si>
  <si>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</si>
  <si>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</si>
  <si>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</si>
  <si>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</si>
  <si>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</si>
  <si>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</si>
  <si>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</si>
  <si>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</si>
  <si>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</si>
  <si>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</si>
  <si>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</si>
  <si>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</si>
  <si>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</si>
  <si>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</si>
  <si>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</si>
  <si>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</si>
  <si>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</si>
  <si>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</si>
  <si>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</si>
  <si>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</si>
  <si>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</si>
  <si>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</si>
  <si>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</si>
  <si>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</si>
  <si>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</si>
  <si>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</si>
  <si>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</si>
  <si>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</si>
  <si>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</si>
  <si>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</si>
  <si>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</si>
  <si>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</si>
  <si>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</si>
  <si>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</si>
  <si>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</si>
  <si>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</si>
  <si>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</si>
  <si>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</si>
  <si>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</si>
  <si>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</si>
  <si>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</si>
  <si>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</si>
  <si>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</si>
  <si>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</si>
  <si>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</si>
  <si>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</si>
  <si>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</si>
  <si>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</si>
  <si>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</si>
  <si>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</si>
  <si>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</si>
  <si>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</si>
  <si>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</si>
  <si>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</si>
  <si>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</si>
  <si>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</si>
  <si>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</si>
  <si>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</si>
  <si>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</si>
  <si>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</si>
  <si>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</si>
  <si>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</si>
  <si>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</si>
  <si>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</si>
  <si>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</si>
  <si>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</si>
  <si>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</si>
  <si>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</si>
  <si>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</si>
  <si>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</si>
  <si>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</si>
  <si>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</si>
  <si>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</si>
  <si>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</si>
  <si>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</si>
  <si>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</si>
  <si>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</si>
  <si>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</si>
  <si>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</si>
  <si>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</si>
  <si>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</si>
  <si>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</si>
  <si>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</si>
  <si>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</si>
  <si>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</si>
  <si>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</si>
  <si>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</si>
  <si>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</si>
  <si>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</si>
  <si>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</si>
  <si>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</si>
  <si>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</si>
  <si>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</si>
  <si>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</si>
  <si>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</si>
  <si>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</si>
  <si>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</si>
  <si>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</si>
  <si>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</si>
  <si>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</si>
  <si>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</si>
  <si>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</si>
  <si>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</si>
  <si>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</si>
  <si>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</si>
  <si>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</si>
  <si>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</si>
  <si>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</si>
  <si>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</si>
  <si>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</si>
  <si>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</si>
  <si>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</si>
  <si>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</si>
  <si>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</si>
  <si>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</si>
  <si>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</si>
  <si>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</si>
  <si>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</si>
  <si>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</si>
  <si>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</si>
  <si>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</si>
  <si>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</si>
  <si>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</si>
  <si>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</si>
  <si>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</si>
  <si>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</si>
  <si>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</si>
  <si>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</si>
  <si>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</si>
  <si>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</si>
  <si>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</si>
  <si>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</si>
  <si>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</si>
  <si>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</si>
  <si>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</si>
  <si>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</si>
  <si>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</si>
  <si>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</si>
  <si>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</si>
  <si>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</si>
  <si>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</si>
  <si>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</si>
  <si>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</si>
  <si>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</si>
  <si>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</si>
  <si>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</si>
  <si>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</si>
  <si>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</si>
  <si>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</si>
  <si>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</si>
  <si>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</si>
  <si>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</si>
  <si>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</si>
  <si>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</si>
  <si>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</si>
  <si>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</si>
  <si>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</si>
  <si>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</si>
  <si>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</si>
  <si>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</si>
  <si>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</si>
  <si>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</si>
  <si>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</si>
  <si>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</si>
  <si>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</si>
  <si>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</si>
  <si>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</si>
  <si>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</si>
  <si>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</si>
  <si>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</si>
  <si>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</si>
  <si>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</si>
  <si>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</si>
  <si>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</si>
  <si>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</si>
  <si>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</si>
  <si>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</si>
  <si>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</si>
  <si>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</si>
  <si>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</si>
  <si>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</si>
  <si>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</si>
  <si>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</si>
  <si>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</si>
  <si>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</si>
  <si>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</si>
  <si>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</si>
  <si>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</si>
  <si>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</si>
  <si>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</si>
  <si>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</si>
  <si>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</si>
  <si>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</si>
  <si>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</si>
  <si>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</si>
  <si>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</si>
  <si>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</si>
  <si>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</si>
  <si>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</si>
  <si>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</si>
  <si>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</si>
  <si>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</si>
  <si>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</si>
  <si>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</si>
  <si>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</si>
  <si>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</si>
  <si>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</si>
  <si>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</si>
  <si>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</si>
  <si>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</si>
  <si>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</si>
  <si>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</si>
  <si>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</si>
  <si>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</si>
  <si>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</si>
  <si>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</si>
  <si>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</si>
  <si>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</si>
  <si>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</si>
  <si>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</si>
  <si>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</si>
  <si>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</si>
  <si>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</si>
  <si>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</si>
  <si>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</si>
  <si>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</si>
  <si>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</si>
  <si>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</si>
  <si>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</si>
  <si>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</si>
  <si>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</si>
  <si>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</si>
  <si>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</si>
  <si>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</si>
  <si>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</si>
  <si>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</si>
  <si>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</si>
  <si>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</si>
  <si>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</si>
  <si>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</si>
  <si>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</si>
  <si>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</si>
  <si>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</si>
  <si>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</si>
  <si>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</si>
  <si>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</si>
  <si>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</si>
  <si>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</si>
  <si>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</si>
  <si>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</si>
  <si>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</si>
  <si>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</si>
  <si>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</si>
  <si>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</si>
  <si>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</si>
  <si>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</si>
  <si>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</si>
  <si>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</si>
  <si>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</si>
  <si>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</si>
  <si>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</si>
  <si>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</si>
  <si>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</si>
  <si>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</si>
  <si>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</si>
  <si>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</si>
  <si>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</si>
  <si>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</si>
  <si>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</si>
  <si>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</si>
  <si>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</si>
  <si>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</si>
  <si>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</si>
  <si>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</si>
  <si>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</si>
  <si>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</si>
  <si>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</si>
  <si>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</si>
  <si>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</si>
  <si>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</si>
  <si>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</si>
  <si>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</si>
  <si>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</si>
  <si>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</si>
  <si>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</si>
  <si>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</si>
  <si>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</si>
  <si>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</si>
  <si>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</si>
  <si>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</si>
  <si>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</si>
  <si>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</si>
  <si>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</si>
  <si>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</si>
  <si>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</si>
  <si>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</si>
  <si>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</si>
  <si>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</si>
  <si>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</si>
  <si>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</si>
  <si>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</si>
  <si>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</si>
  <si>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</si>
  <si>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</si>
  <si>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</si>
  <si>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</si>
  <si>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</si>
  <si>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</si>
  <si>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</si>
  <si>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</si>
  <si>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</si>
  <si>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</si>
  <si>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</si>
  <si>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</si>
  <si>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</si>
  <si>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</si>
  <si>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</si>
  <si>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</si>
  <si>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</si>
  <si>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</si>
  <si>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</si>
  <si>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</si>
  <si>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</si>
  <si>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</si>
  <si>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</si>
  <si>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</si>
  <si>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</si>
  <si>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</si>
  <si>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</si>
  <si>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</si>
  <si>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</si>
  <si>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</si>
  <si>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</si>
  <si>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</si>
  <si>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</si>
  <si>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</si>
  <si>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</si>
  <si>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</si>
  <si>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</si>
  <si>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</si>
  <si>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</si>
  <si>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</si>
  <si>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</si>
  <si>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</si>
  <si>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</si>
  <si>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</si>
  <si>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</si>
  <si>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</si>
  <si>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</si>
  <si>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</si>
  <si>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</si>
  <si>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</si>
  <si>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</si>
  <si>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</si>
  <si>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</si>
  <si>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</si>
  <si>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</si>
  <si>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</si>
  <si>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</si>
  <si>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</si>
  <si>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</si>
  <si>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</si>
  <si>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</si>
  <si>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</si>
  <si>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</si>
  <si>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</si>
  <si>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</si>
  <si>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</si>
  <si>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</si>
  <si>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</si>
  <si>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</si>
  <si>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</si>
  <si>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</si>
  <si>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</si>
  <si>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</si>
  <si>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</si>
  <si>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</si>
  <si>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</si>
  <si>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</si>
  <si>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</si>
  <si>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</si>
  <si>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</si>
  <si>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</si>
  <si>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</si>
  <si>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</si>
  <si>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</si>
  <si>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</si>
  <si>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</si>
  <si>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</si>
  <si>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</si>
  <si>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</si>
  <si>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</si>
  <si>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</si>
  <si>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</si>
  <si>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</si>
  <si>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</si>
  <si>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</si>
  <si>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</si>
  <si>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</si>
  <si>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</si>
  <si>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</si>
  <si>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</si>
  <si>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</si>
  <si>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</si>
  <si>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</si>
  <si>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</si>
  <si>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</si>
  <si>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</si>
  <si>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</si>
  <si>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</si>
  <si>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</si>
  <si>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</si>
  <si>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</si>
  <si>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</si>
  <si>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</si>
  <si>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</si>
  <si>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</si>
  <si>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</si>
  <si>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</si>
  <si>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</si>
  <si>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</si>
  <si>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</si>
  <si>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</si>
  <si>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</si>
  <si>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</si>
  <si>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</si>
  <si>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</si>
  <si>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</si>
  <si>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</si>
  <si>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</si>
  <si>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</si>
  <si>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</si>
  <si>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</si>
  <si>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</si>
  <si>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</si>
  <si>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</si>
  <si>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</si>
  <si>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</si>
  <si>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</si>
  <si>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</si>
  <si>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</si>
  <si>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</si>
  <si>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</si>
  <si>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</si>
  <si>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</si>
  <si>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</si>
  <si>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</si>
  <si>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</si>
  <si>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</si>
  <si>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</si>
  <si>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</si>
  <si>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</si>
  <si>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</si>
  <si>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</si>
  <si>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</si>
  <si>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</si>
  <si>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</si>
  <si>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</si>
  <si>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</si>
  <si>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</si>
  <si>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</si>
  <si>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</si>
  <si>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</si>
  <si>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</si>
  <si>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</si>
  <si>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</si>
  <si>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</si>
  <si>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</si>
  <si>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</si>
  <si>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</si>
  <si>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</si>
  <si>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</si>
  <si>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</si>
  <si>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</si>
  <si>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</si>
  <si>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</si>
  <si>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</si>
  <si>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</si>
  <si>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</si>
  <si>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</si>
  <si>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</si>
  <si>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</si>
  <si>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</si>
  <si>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</si>
  <si>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</si>
  <si>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</si>
  <si>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</si>
  <si>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</si>
  <si>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</si>
  <si>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</si>
  <si>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</si>
  <si>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</si>
  <si>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</si>
  <si>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</si>
  <si>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</si>
  <si>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</si>
  <si>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</si>
  <si>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</si>
  <si>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</si>
  <si>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</si>
  <si>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</si>
  <si>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</si>
  <si>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</si>
  <si>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</si>
  <si>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</si>
  <si>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</si>
  <si>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</si>
  <si>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</si>
  <si>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</si>
  <si>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</si>
  <si>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</si>
  <si>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</si>
  <si>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</si>
  <si>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</si>
  <si>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</si>
  <si>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</si>
  <si>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</si>
  <si>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</si>
  <si>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</si>
  <si>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</si>
  <si>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</si>
  <si>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</si>
  <si>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</si>
  <si>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</si>
  <si>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</si>
  <si>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</si>
  <si>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</si>
  <si>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</si>
  <si>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</si>
  <si>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</si>
  <si>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</si>
  <si>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</si>
  <si>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</si>
  <si>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</si>
  <si>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</si>
  <si>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</si>
  <si>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</si>
  <si>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</si>
  <si>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</si>
  <si>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</si>
  <si>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</si>
  <si>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</si>
  <si>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</si>
  <si>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</si>
  <si>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</si>
  <si>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</si>
  <si>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</si>
  <si>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</si>
  <si>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</si>
  <si>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</si>
  <si>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</si>
  <si>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</si>
  <si>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</si>
  <si>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</si>
  <si>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</si>
  <si>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</si>
  <si>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</si>
  <si>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</si>
  <si>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</si>
  <si>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</si>
  <si>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</si>
  <si>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</si>
  <si>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</si>
  <si>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</si>
  <si>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</si>
  <si>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</si>
  <si>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</si>
  <si>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</si>
  <si>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</si>
  <si>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</si>
  <si>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</si>
  <si>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</si>
  <si>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</si>
  <si>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</si>
  <si>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</si>
  <si>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</si>
  <si>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</si>
  <si>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</si>
  <si>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</si>
  <si>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</si>
  <si>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</si>
  <si>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</si>
  <si>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</si>
  <si>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</si>
  <si>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</si>
  <si>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</si>
  <si>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</si>
  <si>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</si>
  <si>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</si>
  <si>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</si>
  <si>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</si>
  <si>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</si>
  <si>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</si>
  <si>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</si>
  <si>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</si>
  <si>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</si>
  <si>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</si>
  <si>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</si>
  <si>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</si>
  <si>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</si>
  <si>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</si>
  <si>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</si>
  <si>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</si>
  <si>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</si>
  <si>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</si>
  <si>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</si>
  <si>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</si>
  <si>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</si>
  <si>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</si>
  <si>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</si>
  <si>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</si>
  <si>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</si>
  <si>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</si>
  <si>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</si>
  <si>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</si>
  <si>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</si>
  <si>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</si>
  <si>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</si>
  <si>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</si>
  <si>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</si>
  <si>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</si>
  <si>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</si>
  <si>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</si>
  <si>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</si>
  <si>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</si>
  <si>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</si>
  <si>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</si>
  <si>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</si>
  <si>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</si>
  <si>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</si>
  <si>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</si>
  <si>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</si>
  <si>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</si>
  <si>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</si>
  <si>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</si>
  <si>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</si>
  <si>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</si>
  <si>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</si>
  <si>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</si>
  <si>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</si>
  <si>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</si>
  <si>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</si>
  <si>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</si>
  <si>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</si>
  <si>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</si>
  <si>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</si>
  <si>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</si>
  <si>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</si>
  <si>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</si>
  <si>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</si>
  <si>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</si>
  <si>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</si>
  <si>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</si>
  <si>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</si>
  <si>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</si>
  <si>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</si>
  <si>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</si>
  <si>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</si>
  <si>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</si>
  <si>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</si>
  <si>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</si>
  <si>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</si>
  <si>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</si>
  <si>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</si>
  <si>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</si>
  <si>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</si>
  <si>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</si>
  <si>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</si>
  <si>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</si>
  <si>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</si>
  <si>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</si>
  <si>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</si>
  <si>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</si>
  <si>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</si>
  <si>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</si>
  <si>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</si>
  <si>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</si>
  <si>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</si>
  <si>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</si>
  <si>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</si>
  <si>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</si>
  <si>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</si>
  <si>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</si>
  <si>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</si>
  <si>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</si>
  <si>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</si>
  <si>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</si>
  <si>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</si>
  <si>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</si>
  <si>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</si>
  <si>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</si>
  <si>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</si>
  <si>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</si>
  <si>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</si>
  <si>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</si>
  <si>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</si>
  <si>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</si>
  <si>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</si>
  <si>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</si>
  <si>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</si>
  <si>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</si>
  <si>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</si>
  <si>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</si>
  <si>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</si>
  <si>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</si>
  <si>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</si>
  <si>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</si>
  <si>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</si>
  <si>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</si>
  <si>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</si>
  <si>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</si>
  <si>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</si>
  <si>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</si>
  <si>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</si>
  <si>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</si>
  <si>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</si>
  <si>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</si>
  <si>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</si>
  <si>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</si>
  <si>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</si>
  <si>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</si>
  <si>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</si>
  <si>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</si>
  <si>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</si>
  <si>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</si>
  <si>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</si>
  <si>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</si>
  <si>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</si>
  <si>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</si>
  <si>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</si>
  <si>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</si>
  <si>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</si>
  <si>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</si>
  <si>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</si>
  <si>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</si>
  <si>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</si>
  <si>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</si>
  <si>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</si>
  <si>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</si>
  <si>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</si>
  <si>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</si>
  <si>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</si>
  <si>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</si>
  <si>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</si>
  <si>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</si>
  <si>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</si>
  <si>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</si>
  <si>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</si>
  <si>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</si>
  <si>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</si>
  <si>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</si>
  <si>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</si>
  <si>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</si>
  <si>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</si>
  <si>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</si>
  <si>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</si>
  <si>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</si>
  <si>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</si>
  <si>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</si>
  <si>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</si>
  <si>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</si>
  <si>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</si>
  <si>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</si>
  <si>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</si>
  <si>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</si>
  <si>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</si>
  <si>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</si>
  <si>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</si>
  <si>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</si>
  <si>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</si>
  <si>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</si>
  <si>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</si>
  <si>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</si>
  <si>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</si>
  <si>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</si>
  <si>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</si>
  <si>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</si>
  <si>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</si>
  <si>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</si>
  <si>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</si>
  <si>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</si>
  <si>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</si>
  <si>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</si>
  <si>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</si>
  <si>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</si>
  <si>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</si>
  <si>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</si>
  <si>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</si>
  <si>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</si>
  <si>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</si>
  <si>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</si>
  <si>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</si>
  <si>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</si>
  <si>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</si>
  <si>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</si>
  <si>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</si>
  <si>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</si>
  <si>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</si>
  <si>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</si>
  <si>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</si>
  <si>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</si>
  <si>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</si>
  <si>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</si>
  <si>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</si>
  <si>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</si>
  <si>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</si>
  <si>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</si>
  <si>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</si>
  <si>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</si>
  <si>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</si>
  <si>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</si>
  <si>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</si>
  <si>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</si>
  <si>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</si>
  <si>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</si>
  <si>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</si>
  <si>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</si>
  <si>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</si>
  <si>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</si>
  <si>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</si>
  <si>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</si>
  <si>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</si>
  <si>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</si>
  <si>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</si>
  <si>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</si>
  <si>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</si>
  <si>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</si>
  <si>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</si>
  <si>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</si>
  <si>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</si>
  <si>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</si>
  <si>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</si>
  <si>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</si>
  <si>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</si>
  <si>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</si>
  <si>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</si>
  <si>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</si>
  <si>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</si>
  <si>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</si>
  <si>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</si>
  <si>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</si>
  <si>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</si>
  <si>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</si>
  <si>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</si>
  <si>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</si>
  <si>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</si>
  <si>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</si>
  <si>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</si>
  <si>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</si>
  <si>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</si>
  <si>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</si>
  <si>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</si>
  <si>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</si>
  <si>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</si>
  <si>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</si>
  <si>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</si>
  <si>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</si>
  <si>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</si>
  <si>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</si>
  <si>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</si>
  <si>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</si>
  <si>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</si>
  <si>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</si>
  <si>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</si>
  <si>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</si>
  <si>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</si>
  <si>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</si>
  <si>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</si>
  <si>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</si>
  <si>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</si>
  <si>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</si>
  <si>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</si>
  <si>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</si>
  <si>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</si>
  <si>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</si>
  <si>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</si>
  <si>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</si>
  <si>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</si>
  <si>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</si>
  <si>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</si>
  <si>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</si>
  <si>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</si>
  <si>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</si>
  <si>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</si>
  <si>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</si>
  <si>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</si>
  <si>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</si>
  <si>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</si>
  <si>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</si>
  <si>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</si>
  <si>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</si>
  <si>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</si>
  <si>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</si>
  <si>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</si>
  <si>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</si>
  <si>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</si>
  <si>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</si>
  <si>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</si>
  <si>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</si>
  <si>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</si>
  <si>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</si>
  <si>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</si>
  <si>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</si>
  <si>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</si>
  <si>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</si>
  <si>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</si>
  <si>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</si>
  <si>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</si>
  <si>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</si>
  <si>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</si>
  <si>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</si>
  <si>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</si>
  <si>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</si>
  <si>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</si>
  <si>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</si>
  <si>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</si>
  <si>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</si>
  <si>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</si>
  <si>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</si>
  <si>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</si>
  <si>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</si>
  <si>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</si>
  <si>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</si>
  <si>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</si>
  <si>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</si>
  <si>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</si>
  <si>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</si>
  <si>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</si>
  <si>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</si>
  <si>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</si>
  <si>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</si>
  <si>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</si>
  <si>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</si>
  <si>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</si>
  <si>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</si>
  <si>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</si>
  <si>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</si>
  <si>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</si>
  <si>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</si>
  <si>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</si>
  <si>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</si>
  <si>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</si>
  <si>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</si>
  <si>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</si>
  <si>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</si>
  <si>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</si>
  <si>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</si>
  <si>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</si>
  <si>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</si>
  <si>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</si>
  <si>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</si>
  <si>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</si>
  <si>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</si>
  <si>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</si>
  <si>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</si>
  <si>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</si>
  <si>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</si>
  <si>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</si>
  <si>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</si>
  <si>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</si>
  <si>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</si>
  <si>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</si>
  <si>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</si>
  <si>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</si>
  <si>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</si>
  <si>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</si>
  <si>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</si>
  <si>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</si>
  <si>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</si>
  <si>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</si>
  <si>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</si>
  <si>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</si>
  <si>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</si>
  <si>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</si>
  <si>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</si>
  <si>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</si>
  <si>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</si>
  <si>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</si>
  <si>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</si>
  <si>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</si>
  <si>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</si>
  <si>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</si>
  <si>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</si>
  <si>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</si>
  <si>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</si>
  <si>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</si>
  <si>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</si>
  <si>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</si>
  <si>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</si>
  <si>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</si>
  <si>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</si>
  <si>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</si>
  <si>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</si>
  <si>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</si>
  <si>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</si>
  <si>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</si>
  <si>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</si>
  <si>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</si>
  <si>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</si>
  <si>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</si>
  <si>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</si>
  <si>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</si>
  <si>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</si>
  <si>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</si>
  <si>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</si>
  <si>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</si>
  <si>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</si>
  <si>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</si>
  <si>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</si>
  <si>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</si>
  <si>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</si>
  <si>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</si>
  <si>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</si>
  <si>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</si>
  <si>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</si>
  <si>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</si>
  <si>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</si>
  <si>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</si>
  <si>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</si>
  <si>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</si>
  <si>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</si>
  <si>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</si>
  <si>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</si>
  <si>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</si>
  <si>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</si>
  <si>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</si>
  <si>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</si>
  <si>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</si>
  <si>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</si>
  <si>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</si>
  <si>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</si>
  <si>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</si>
  <si>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</si>
  <si>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</si>
  <si>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</si>
  <si>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</si>
  <si>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</si>
  <si>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</si>
  <si>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</si>
  <si>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</si>
  <si>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</si>
  <si>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</si>
  <si>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</si>
  <si>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</si>
  <si>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</si>
  <si>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</si>
  <si>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</si>
  <si>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</si>
  <si>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</si>
  <si>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</si>
  <si>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</si>
  <si>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</si>
  <si>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</si>
  <si>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</si>
  <si>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</si>
  <si>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</si>
  <si>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</si>
  <si>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</si>
  <si>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</si>
  <si>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</si>
  <si>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</si>
  <si>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</si>
  <si>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</si>
  <si>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</si>
  <si>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</si>
  <si>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</si>
  <si>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</si>
  <si>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</si>
  <si>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</si>
  <si>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</si>
  <si>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</si>
  <si>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</si>
  <si>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</si>
  <si>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</si>
  <si>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</si>
  <si>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</si>
  <si>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</si>
  <si>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</si>
  <si>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</si>
  <si>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</si>
  <si>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</si>
  <si>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</si>
  <si>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</si>
  <si>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</si>
  <si>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</si>
  <si>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</si>
  <si>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</si>
  <si>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</si>
  <si>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</si>
  <si>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</si>
  <si>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</si>
  <si>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</si>
  <si>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</si>
  <si>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</si>
  <si>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</si>
  <si>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</si>
  <si>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</si>
  <si>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</si>
  <si>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</si>
  <si>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</si>
  <si>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</si>
  <si>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</si>
  <si>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</si>
  <si>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</si>
  <si>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</si>
  <si>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</si>
  <si>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</si>
  <si>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</si>
  <si>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</si>
  <si>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</si>
  <si>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</si>
  <si>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</si>
  <si>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</si>
  <si>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</si>
  <si>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</si>
  <si>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</si>
  <si>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</si>
  <si>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</si>
  <si>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</si>
  <si>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</si>
  <si>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</si>
  <si>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</si>
  <si>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</si>
  <si>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</si>
  <si>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</si>
  <si>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</si>
  <si>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</si>
  <si>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</si>
  <si>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</si>
  <si>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</si>
  <si>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</si>
  <si>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</si>
  <si>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</si>
  <si>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</si>
  <si>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</si>
  <si>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</si>
  <si>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</si>
  <si>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</si>
  <si>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</si>
  <si>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</si>
  <si>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</si>
  <si>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</si>
  <si>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</si>
  <si>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</si>
  <si>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</si>
  <si>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</si>
  <si>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</si>
  <si>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</si>
  <si>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</si>
  <si>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</si>
  <si>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</si>
  <si>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</si>
  <si>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</si>
  <si>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</si>
  <si>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</si>
  <si>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</si>
  <si>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</si>
  <si>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</si>
  <si>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</si>
  <si>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</si>
  <si>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</si>
  <si>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</si>
  <si>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</si>
  <si>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</si>
  <si>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</si>
  <si>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</si>
  <si>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</si>
  <si>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</si>
  <si>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</si>
  <si>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</si>
  <si>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</si>
  <si>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</si>
  <si>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</si>
  <si>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</si>
  <si>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</si>
  <si>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</si>
  <si>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</si>
  <si>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</si>
  <si>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</si>
  <si>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</si>
  <si>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</si>
  <si>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</si>
  <si>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</si>
  <si>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</si>
  <si>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</si>
  <si>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</si>
  <si>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</si>
  <si>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</si>
  <si>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</si>
  <si>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</si>
  <si>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</si>
  <si>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</si>
  <si>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</si>
  <si>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</si>
  <si>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</si>
  <si>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</si>
  <si>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</si>
  <si>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</si>
  <si>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</si>
  <si>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</si>
  <si>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</si>
  <si>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</si>
  <si>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</si>
  <si>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</si>
  <si>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</si>
  <si>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</si>
  <si>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</si>
  <si>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</si>
  <si>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</si>
  <si>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</si>
  <si>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</si>
  <si>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</si>
  <si>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</si>
  <si>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</si>
  <si>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</si>
  <si>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</si>
  <si>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</si>
  <si>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</si>
  <si>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</si>
  <si>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</si>
  <si>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</si>
  <si>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</si>
  <si>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</si>
  <si>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</si>
  <si>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</si>
  <si>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</si>
  <si>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</si>
  <si>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</si>
  <si>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</si>
  <si>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</si>
  <si>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</si>
  <si>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</si>
  <si>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</si>
  <si>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</si>
  <si>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</si>
  <si>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</si>
  <si>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</si>
  <si>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</si>
  <si>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</si>
  <si>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</si>
  <si>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</si>
  <si>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</si>
  <si>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</si>
  <si>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</si>
  <si>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</si>
  <si>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</si>
  <si>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</si>
  <si>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</si>
  <si>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</si>
  <si>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</si>
  <si>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</si>
  <si>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</si>
  <si>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</si>
  <si>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</si>
  <si>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</si>
  <si>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</si>
  <si>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</si>
  <si>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</si>
  <si>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</si>
  <si>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</si>
  <si>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</si>
  <si>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</si>
  <si>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</si>
  <si>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</si>
  <si>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</si>
  <si>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</si>
  <si>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</si>
  <si>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</si>
  <si>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</si>
  <si>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</si>
  <si>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</si>
  <si>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</si>
  <si>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</si>
  <si>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</si>
  <si>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</si>
  <si>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</si>
  <si>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</si>
  <si>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</si>
  <si>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</si>
  <si>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</si>
  <si>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</si>
  <si>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</si>
  <si>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</si>
  <si>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</si>
  <si>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</si>
  <si>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</si>
  <si>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</si>
  <si>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</si>
  <si>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</si>
  <si>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</si>
  <si>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</si>
  <si>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</si>
  <si>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</si>
  <si>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</si>
  <si>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</si>
  <si>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</si>
  <si>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</si>
  <si>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</si>
  <si>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</si>
  <si>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</si>
  <si>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</si>
  <si>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</si>
  <si>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</si>
  <si>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</si>
  <si>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</si>
  <si>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</si>
  <si>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</si>
  <si>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</si>
  <si>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</si>
  <si>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</si>
  <si>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</si>
  <si>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</si>
  <si>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</si>
  <si>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</si>
  <si>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</si>
  <si>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</si>
  <si>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</si>
  <si>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</si>
  <si>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</si>
  <si>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</si>
  <si>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</si>
  <si>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</si>
  <si>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</si>
  <si>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</si>
  <si>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</si>
  <si>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</si>
  <si>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</si>
  <si>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</si>
  <si>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</si>
  <si>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</si>
  <si>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</si>
  <si>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</si>
  <si>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</si>
  <si>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</si>
  <si>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</si>
  <si>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</si>
  <si>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</si>
  <si>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</si>
  <si>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</si>
  <si>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</si>
  <si>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</si>
  <si>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</si>
  <si>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</si>
  <si>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</si>
  <si>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</si>
  <si>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</si>
  <si>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</si>
  <si>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</si>
  <si>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</si>
  <si>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</si>
  <si>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</si>
  <si>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</si>
  <si>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</si>
  <si>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</si>
  <si>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</si>
  <si>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</si>
  <si>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</si>
  <si>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</si>
  <si>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</si>
  <si>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</si>
  <si>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</si>
  <si>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</si>
  <si>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</si>
  <si>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</si>
  <si>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</si>
  <si>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</si>
  <si>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</si>
  <si>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</si>
  <si>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</si>
  <si>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</si>
  <si>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</si>
  <si>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</si>
  <si>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</si>
  <si>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</si>
  <si>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</si>
  <si>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</si>
  <si>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</si>
  <si>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</si>
  <si>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</si>
  <si>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</si>
  <si>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</si>
  <si>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</si>
  <si>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</si>
  <si>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</si>
  <si>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</si>
  <si>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</si>
  <si>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</si>
  <si>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</si>
  <si>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</si>
  <si>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</si>
  <si>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</si>
  <si>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</si>
  <si>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</si>
  <si>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</si>
  <si>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</si>
  <si>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</si>
  <si>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</si>
  <si>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</si>
  <si>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</si>
  <si>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</si>
  <si>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</si>
  <si>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</si>
  <si>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</si>
  <si>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</si>
  <si>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</si>
  <si>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</si>
  <si>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</si>
  <si>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</si>
  <si>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</si>
  <si>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</si>
  <si>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</si>
  <si>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</si>
  <si>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</si>
  <si>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</si>
  <si>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</si>
  <si>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</si>
  <si>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</si>
  <si>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</si>
  <si>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</si>
  <si>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</si>
  <si>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</si>
  <si>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</si>
  <si>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</si>
  <si>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</si>
  <si>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</si>
  <si>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</si>
  <si>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</si>
  <si>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</si>
  <si>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</si>
  <si>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</si>
  <si>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</si>
  <si>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</si>
  <si>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</si>
  <si>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</si>
  <si>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</si>
  <si>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</si>
  <si>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</si>
  <si>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</si>
  <si>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</si>
  <si>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</si>
  <si>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</si>
  <si>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</si>
  <si>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</si>
  <si>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</si>
  <si>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</si>
  <si>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</si>
  <si>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</si>
  <si>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</si>
  <si>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</si>
  <si>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</si>
  <si>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</si>
  <si>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</si>
  <si>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</si>
  <si>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</si>
  <si>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</si>
  <si>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</si>
  <si>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</si>
  <si>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</si>
  <si>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</si>
  <si>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</si>
  <si>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</si>
  <si>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</si>
  <si>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</si>
  <si>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</si>
  <si>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</si>
  <si>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</si>
  <si>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</si>
  <si>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</si>
  <si>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</si>
  <si>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</si>
  <si>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</si>
  <si>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</si>
  <si>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</si>
  <si>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</si>
  <si>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</si>
  <si>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</si>
  <si>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</si>
  <si>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</si>
  <si>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</si>
  <si>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</si>
  <si>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</si>
  <si>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</si>
  <si>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</si>
  <si>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</si>
  <si>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</si>
  <si>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</si>
  <si>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</si>
  <si>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</si>
  <si>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</si>
  <si>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</si>
  <si>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</si>
  <si>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</si>
  <si>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</si>
  <si>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</si>
  <si>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</si>
  <si>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</si>
  <si>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</si>
  <si>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</si>
  <si>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</si>
  <si>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</si>
  <si>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</si>
  <si>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</si>
  <si>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</si>
  <si>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</si>
  <si>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</si>
  <si>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</si>
  <si>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</si>
  <si>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</si>
  <si>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</si>
  <si>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</si>
  <si>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</si>
  <si>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</si>
  <si>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</si>
  <si>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</si>
  <si>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</si>
  <si>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</si>
  <si>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</si>
  <si>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</si>
  <si>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</si>
  <si>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</si>
  <si>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</si>
  <si>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</si>
  <si>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</si>
  <si>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</si>
  <si>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</si>
  <si>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</si>
  <si>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</si>
  <si>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</si>
  <si>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</si>
  <si>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</si>
  <si>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</si>
  <si>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</si>
  <si>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</si>
  <si>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</si>
  <si>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</si>
  <si>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</si>
  <si>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</si>
  <si>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</si>
  <si>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</si>
  <si>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</si>
  <si>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</si>
  <si>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</si>
  <si>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</si>
  <si>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</si>
  <si>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</si>
  <si>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</si>
  <si>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</si>
  <si>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</si>
  <si>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</si>
  <si>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</si>
  <si>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</si>
  <si>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</si>
  <si>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</si>
  <si>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</si>
  <si>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</si>
  <si>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</si>
  <si>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</si>
  <si>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</si>
  <si>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</si>
  <si>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</si>
  <si>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</si>
  <si>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</si>
  <si>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</si>
  <si>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</si>
  <si>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</si>
  <si>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</si>
  <si>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</si>
  <si>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</si>
  <si>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</si>
  <si>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</si>
  <si>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</si>
  <si>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</si>
  <si>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</si>
  <si>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</si>
  <si>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</si>
  <si>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</si>
  <si>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</si>
  <si>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</si>
  <si>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</si>
  <si>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</si>
  <si>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</si>
  <si>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</si>
  <si>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</si>
  <si>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</si>
  <si>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</si>
  <si>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</si>
  <si>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</si>
  <si>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</si>
  <si>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</si>
  <si>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</si>
  <si>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</si>
  <si>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</si>
  <si>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</si>
  <si>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</si>
  <si>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</si>
  <si>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</si>
  <si>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</si>
  <si>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</si>
  <si>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</si>
  <si>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</si>
  <si>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</si>
  <si>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</si>
  <si>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</si>
  <si>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</si>
  <si>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</si>
  <si>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</si>
  <si>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</si>
  <si>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</si>
  <si>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</si>
  <si>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</si>
  <si>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</si>
  <si>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</si>
  <si>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</si>
  <si>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</si>
  <si>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</si>
  <si>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</si>
  <si>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</si>
  <si>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</si>
  <si>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</si>
  <si>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</si>
  <si>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</si>
  <si>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</si>
  <si>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</si>
  <si>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</si>
  <si>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</si>
  <si>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</si>
  <si>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</si>
  <si>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</si>
  <si>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</si>
  <si>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</si>
  <si>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</si>
  <si>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</si>
  <si>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</si>
  <si>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</si>
  <si>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</si>
  <si>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</si>
  <si>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</si>
  <si>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</si>
  <si>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</si>
  <si>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</si>
  <si>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</si>
  <si>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</si>
  <si>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</si>
  <si>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</si>
  <si>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</si>
  <si>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</si>
  <si>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</si>
  <si>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</si>
  <si>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</si>
  <si>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</si>
  <si>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</si>
  <si>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</si>
  <si>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</si>
  <si>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</si>
  <si>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</si>
  <si>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</si>
  <si>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</si>
  <si>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</si>
  <si>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</si>
  <si>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</si>
  <si>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</si>
  <si>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</si>
  <si>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</si>
  <si>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</si>
  <si>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</si>
  <si>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</si>
  <si>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</si>
  <si>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</si>
  <si>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</si>
  <si>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</si>
  <si>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</si>
  <si>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</si>
  <si>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</si>
  <si>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</si>
  <si>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</si>
  <si>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</si>
  <si>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</si>
  <si>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</si>
  <si>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</si>
  <si>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</si>
  <si>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</si>
  <si>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</si>
  <si>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</si>
  <si>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</si>
  <si>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</si>
  <si>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</si>
  <si>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</si>
  <si>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</si>
  <si>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</si>
  <si>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</si>
  <si>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</si>
  <si>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</si>
  <si>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</si>
  <si>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</si>
  <si>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</si>
  <si>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</si>
  <si>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</si>
  <si>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</si>
  <si>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</si>
  <si>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</si>
  <si>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</si>
  <si>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</si>
  <si>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</si>
  <si>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</si>
  <si>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</si>
  <si>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</si>
  <si>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</si>
  <si>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</si>
  <si>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</si>
  <si>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</si>
  <si>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</si>
  <si>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</si>
  <si>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</si>
  <si>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</si>
  <si>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</si>
  <si>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</si>
  <si>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</si>
  <si>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</si>
  <si>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</si>
  <si>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</si>
  <si>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</si>
  <si>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</si>
  <si>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</si>
  <si>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</si>
  <si>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</si>
  <si>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</si>
  <si>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</si>
  <si>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</si>
  <si>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</si>
  <si>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</si>
  <si>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</si>
  <si>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</si>
  <si>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</si>
  <si>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</si>
  <si>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</si>
  <si>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</si>
  <si>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</si>
  <si>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</si>
  <si>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</si>
  <si>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</si>
  <si>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</si>
  <si>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</si>
  <si>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</si>
  <si>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</si>
  <si>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</si>
  <si>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</si>
  <si>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</si>
  <si>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</si>
  <si>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</si>
  <si>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</si>
  <si>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</si>
  <si>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</si>
  <si>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</si>
  <si>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</si>
  <si>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</si>
  <si>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</si>
  <si>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</si>
  <si>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</si>
  <si>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</si>
  <si>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</si>
  <si>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</si>
  <si>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</si>
  <si>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</si>
  <si>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</si>
  <si>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</si>
  <si>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</si>
  <si>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</si>
  <si>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</si>
  <si>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</si>
  <si>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</si>
  <si>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</si>
  <si>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</si>
  <si>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</si>
  <si>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</si>
  <si>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</si>
  <si>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</si>
  <si>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</si>
  <si>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</si>
  <si>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</si>
  <si>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</si>
  <si>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</si>
  <si>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</si>
  <si>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</si>
  <si>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</si>
  <si>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</si>
  <si>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</si>
  <si>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</si>
  <si>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</si>
  <si>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</si>
  <si>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</si>
  <si>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</si>
  <si>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</si>
  <si>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</si>
  <si>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</si>
  <si>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</si>
  <si>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</si>
  <si>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</si>
  <si>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</si>
  <si>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</si>
  <si>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</si>
  <si>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</si>
  <si>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</si>
  <si>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</si>
  <si>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</si>
  <si>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</si>
  <si>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</si>
  <si>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</si>
  <si>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</si>
  <si>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</si>
  <si>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</si>
  <si>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</si>
  <si>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</si>
  <si>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</si>
  <si>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</si>
  <si>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</si>
  <si>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</si>
  <si>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</si>
  <si>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</si>
  <si>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</si>
  <si>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</si>
  <si>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</si>
  <si>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</si>
  <si>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</si>
  <si>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</si>
  <si>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</si>
  <si>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</si>
  <si>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</si>
  <si>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</si>
  <si>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</si>
  <si>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</si>
  <si>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</si>
  <si>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</si>
  <si>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</si>
  <si>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</si>
  <si>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</si>
  <si>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</si>
  <si>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</si>
  <si>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</si>
  <si>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</si>
  <si>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</si>
  <si>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</si>
  <si>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</si>
  <si>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</si>
  <si>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</si>
  <si>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</si>
  <si>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</si>
  <si>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</si>
  <si>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</si>
  <si>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</si>
  <si>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</si>
  <si>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</si>
  <si>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</si>
  <si>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</si>
  <si>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</si>
  <si>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</si>
  <si>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</si>
  <si>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</si>
  <si>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</si>
  <si>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</si>
  <si>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</si>
  <si>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</si>
  <si>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</si>
  <si>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</si>
  <si>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</si>
  <si>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</si>
  <si>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</si>
  <si>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</si>
  <si>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</si>
  <si>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</si>
  <si>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</si>
  <si>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</si>
  <si>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</si>
  <si>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</si>
  <si>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</si>
  <si>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</si>
  <si>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</si>
  <si>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</si>
  <si>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</si>
  <si>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</si>
  <si>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</si>
  <si>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</si>
  <si>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</si>
  <si>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</si>
  <si>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</si>
  <si>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</si>
  <si>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</si>
  <si>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</si>
  <si>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</si>
  <si>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</si>
  <si>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</si>
  <si>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</si>
  <si>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</si>
  <si>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</si>
  <si>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</si>
  <si>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</si>
  <si>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</si>
  <si>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</si>
  <si>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</si>
  <si>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</si>
  <si>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</si>
  <si>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</si>
  <si>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</si>
  <si>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</si>
  <si>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</si>
  <si>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</si>
  <si>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</si>
  <si>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</si>
  <si>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</si>
  <si>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</si>
  <si>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</si>
  <si>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</si>
  <si>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</si>
  <si>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</si>
  <si>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</si>
  <si>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</si>
  <si>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</si>
  <si>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</si>
  <si>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</si>
  <si>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</si>
  <si>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</si>
  <si>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</si>
  <si>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</si>
  <si>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</si>
  <si>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</si>
  <si>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</si>
  <si>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</si>
  <si>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</si>
  <si>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</si>
  <si>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</si>
  <si>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</si>
  <si>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</si>
  <si>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</si>
  <si>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</si>
  <si>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</si>
  <si>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</si>
  <si>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</si>
  <si>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</si>
  <si>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</si>
  <si>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</si>
  <si>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</si>
  <si>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</si>
  <si>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</si>
  <si>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</si>
  <si>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</si>
  <si>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</si>
  <si>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</si>
  <si>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</si>
  <si>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</si>
  <si>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</si>
  <si>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</si>
  <si>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</si>
  <si>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</si>
  <si>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</si>
  <si>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</si>
  <si>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</si>
  <si>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</si>
  <si>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</si>
  <si>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</si>
  <si>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</si>
  <si>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</si>
  <si>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</si>
  <si>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</si>
  <si>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</si>
  <si>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</si>
  <si>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</si>
  <si>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</si>
  <si>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</si>
  <si>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</si>
  <si>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</si>
  <si>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</si>
  <si>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</si>
  <si>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</si>
  <si>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</si>
  <si>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</si>
  <si>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</si>
  <si>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</si>
  <si>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</si>
  <si>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</si>
  <si>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</si>
  <si>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</si>
  <si>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</si>
  <si>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</si>
  <si>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</si>
  <si>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</si>
  <si>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</si>
  <si>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</si>
  <si>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</si>
  <si>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</si>
  <si>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</si>
  <si>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</si>
  <si>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</si>
  <si>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</si>
  <si>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</si>
  <si>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</si>
  <si>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</si>
  <si>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</si>
  <si>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</si>
  <si>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</si>
  <si>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</si>
  <si>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</si>
  <si>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</si>
  <si>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</si>
  <si>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</si>
  <si>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</si>
  <si>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</si>
  <si>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</si>
  <si>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</si>
  <si>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</si>
  <si>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</si>
  <si>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</si>
  <si>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</si>
  <si>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</si>
  <si>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</si>
  <si>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</si>
  <si>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</si>
  <si>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</si>
  <si>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</si>
  <si>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</si>
  <si>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</si>
  <si>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</si>
  <si>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</si>
  <si>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</si>
  <si>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</si>
  <si>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</si>
  <si>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</si>
  <si>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</si>
  <si>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</si>
  <si>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</si>
  <si>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</si>
  <si>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</si>
  <si>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</si>
  <si>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</si>
  <si>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</si>
  <si>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</si>
  <si>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</si>
  <si>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</si>
  <si>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</si>
  <si>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</si>
  <si>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</si>
  <si>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</si>
  <si>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</si>
  <si>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</si>
  <si>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</si>
  <si>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</si>
  <si>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</si>
  <si>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</si>
  <si>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</si>
  <si>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</si>
  <si>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</si>
  <si>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</si>
  <si>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</si>
  <si>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</si>
  <si>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</si>
  <si>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</si>
  <si>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</si>
  <si>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</si>
  <si>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</si>
  <si>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</si>
  <si>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</si>
  <si>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</si>
  <si>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</si>
  <si>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</si>
  <si>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</si>
  <si>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</si>
  <si>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</si>
  <si>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</si>
  <si>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</si>
  <si>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</si>
  <si>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</si>
  <si>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</si>
  <si>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</si>
  <si>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</si>
  <si>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</si>
  <si>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</si>
  <si>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</si>
  <si>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</si>
  <si>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</si>
  <si>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</si>
  <si>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</si>
  <si>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</si>
  <si>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</si>
  <si>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</si>
  <si>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</si>
  <si>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</si>
  <si>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</si>
  <si>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</si>
  <si>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</si>
  <si>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</si>
  <si>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</si>
  <si>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</si>
  <si>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</si>
  <si>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</si>
  <si>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</si>
  <si>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</si>
  <si>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</si>
  <si>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</si>
  <si>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</si>
  <si>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</si>
  <si>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</si>
  <si>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</si>
  <si>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</si>
  <si>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</si>
  <si>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</si>
  <si>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</si>
  <si>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</si>
  <si>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</si>
  <si>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</si>
  <si>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</si>
  <si>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</si>
  <si>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</si>
  <si>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</si>
  <si>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</si>
  <si>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</si>
  <si>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</si>
  <si>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</si>
  <si>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</si>
  <si>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</si>
  <si>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</si>
  <si>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</si>
  <si>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</si>
  <si>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</si>
  <si>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</si>
  <si>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</si>
  <si>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</si>
  <si>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</si>
  <si>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</si>
  <si>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</si>
  <si>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</si>
  <si>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</si>
  <si>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</si>
  <si>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</si>
  <si>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</si>
  <si>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</si>
  <si>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</si>
  <si>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</si>
  <si>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</si>
  <si>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</si>
  <si>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</si>
  <si>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</si>
  <si>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</si>
  <si>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</si>
  <si>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</si>
  <si>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</si>
  <si>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</si>
  <si>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</si>
  <si>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</si>
  <si>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</si>
  <si>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</si>
  <si>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</si>
  <si>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</si>
  <si>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</si>
  <si>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</si>
  <si>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</si>
  <si>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</si>
  <si>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</si>
  <si>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</si>
  <si>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</si>
  <si>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</si>
  <si>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</si>
  <si>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</si>
  <si>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</si>
  <si>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</si>
  <si>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</si>
  <si>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</si>
  <si>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</si>
  <si>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</si>
  <si>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</si>
  <si>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</si>
  <si>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</si>
  <si>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</si>
  <si>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</si>
  <si>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</si>
  <si>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</si>
  <si>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</si>
  <si>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</si>
  <si>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</si>
  <si>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</si>
  <si>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</si>
  <si>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</si>
  <si>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</si>
  <si>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</si>
  <si>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</si>
  <si>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</si>
  <si>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</si>
  <si>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</si>
  <si>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</si>
  <si>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</si>
  <si>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</si>
  <si>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</si>
  <si>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</si>
  <si>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</si>
  <si>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</si>
  <si>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</si>
  <si>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</si>
  <si>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</si>
  <si>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</si>
  <si>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</si>
  <si>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</si>
  <si>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</si>
  <si>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</si>
  <si>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</si>
  <si>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</si>
  <si>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</si>
  <si>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</si>
  <si>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</si>
  <si>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</si>
  <si>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</si>
  <si>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</si>
  <si>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</si>
  <si>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</si>
  <si>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</si>
  <si>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</si>
  <si>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</si>
  <si>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</si>
  <si>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</si>
  <si>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</si>
  <si>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</si>
  <si>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</si>
  <si>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</si>
  <si>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</si>
  <si>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</si>
  <si>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</si>
  <si>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</si>
  <si>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</si>
  <si>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</si>
  <si>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</si>
  <si>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</si>
  <si>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</si>
  <si>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</si>
  <si>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</si>
  <si>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</si>
  <si>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</si>
  <si>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</si>
  <si>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</si>
  <si>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</si>
  <si>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</si>
  <si>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</si>
  <si>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</si>
  <si>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</si>
  <si>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</si>
  <si>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</si>
  <si>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</si>
  <si>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</si>
  <si>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</si>
  <si>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</si>
  <si>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</si>
  <si>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</si>
  <si>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</si>
  <si>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</si>
  <si>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</si>
  <si>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</si>
  <si>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</si>
  <si>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</si>
  <si>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</si>
  <si>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</si>
  <si>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</si>
  <si>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</si>
  <si>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</si>
  <si>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</si>
  <si>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</si>
  <si>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</si>
  <si>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</si>
  <si>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</si>
  <si>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</si>
  <si>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</si>
  <si>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</si>
  <si>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</si>
  <si>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</si>
  <si>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</si>
  <si>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</si>
  <si>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</si>
  <si>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</si>
  <si>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</si>
  <si>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</si>
  <si>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</si>
  <si>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</si>
  <si>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</si>
  <si>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</si>
  <si>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</si>
  <si>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</si>
  <si>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</si>
  <si>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</si>
  <si>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</si>
  <si>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</si>
  <si>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</si>
  <si>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</si>
  <si>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</si>
  <si>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</si>
  <si>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</si>
  <si>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</si>
  <si>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</si>
  <si>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</si>
  <si>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</si>
  <si>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</si>
  <si>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</si>
  <si>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</si>
  <si>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</si>
  <si>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</si>
  <si>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</si>
  <si>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</si>
  <si>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</si>
  <si>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</si>
  <si>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</si>
  <si>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</si>
  <si>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</si>
  <si>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</si>
  <si>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</si>
  <si>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</si>
  <si>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</si>
  <si>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</si>
  <si>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</si>
  <si>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</si>
  <si>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</si>
  <si>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</si>
  <si>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</si>
  <si>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</si>
  <si>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</si>
  <si>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</si>
  <si>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</si>
  <si>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</si>
  <si>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</si>
  <si>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</si>
  <si>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</si>
  <si>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</si>
  <si>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</si>
  <si>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</si>
  <si>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</si>
  <si>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</si>
  <si>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</si>
  <si>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</si>
  <si>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</si>
  <si>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</si>
  <si>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</si>
  <si>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</si>
  <si>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</si>
  <si>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</si>
  <si>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</si>
  <si>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</si>
  <si>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</si>
  <si>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</si>
  <si>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</si>
  <si>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</si>
  <si>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</si>
  <si>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</si>
  <si>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</si>
  <si>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</si>
  <si>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</si>
  <si>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</si>
  <si>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</si>
  <si>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</si>
  <si>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</si>
  <si>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</si>
  <si>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</si>
  <si>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</si>
  <si>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</si>
  <si>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</si>
  <si>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</si>
  <si>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</si>
  <si>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</si>
  <si>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</si>
  <si>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</si>
  <si>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</si>
  <si>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</si>
  <si>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</si>
  <si>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</si>
  <si>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</si>
  <si>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</si>
  <si>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</si>
  <si>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</si>
  <si>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</si>
  <si>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</si>
  <si>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</si>
  <si>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</si>
  <si>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</si>
  <si>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</si>
  <si>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</si>
  <si>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</si>
  <si>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</si>
  <si>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</si>
  <si>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</si>
  <si>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</si>
  <si>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</si>
  <si>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</si>
  <si>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</si>
  <si>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</si>
  <si>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</si>
  <si>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</si>
  <si>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</si>
  <si>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</si>
  <si>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</si>
  <si>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</si>
  <si>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</si>
  <si>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</si>
  <si>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</si>
  <si>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</si>
  <si>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</si>
  <si>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</si>
  <si>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</si>
  <si>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</si>
  <si>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</si>
  <si>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</si>
  <si>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</si>
  <si>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</si>
  <si>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</si>
  <si>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</si>
  <si>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</si>
  <si>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</si>
  <si>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</si>
  <si>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</si>
  <si>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</si>
  <si>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</si>
  <si>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</si>
  <si>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</si>
  <si>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</si>
  <si>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</si>
  <si>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</si>
  <si>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</si>
  <si>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</si>
  <si>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</si>
  <si>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</si>
  <si>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</si>
  <si>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</si>
  <si>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</si>
  <si>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</si>
  <si>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</si>
  <si>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</si>
  <si>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</si>
  <si>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</si>
  <si>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</si>
  <si>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</si>
  <si>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</si>
  <si>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</si>
  <si>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</si>
  <si>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</si>
  <si>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</si>
  <si>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</si>
  <si>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</si>
  <si>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</si>
  <si>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</si>
  <si>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</si>
  <si>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</si>
  <si>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</si>
  <si>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</si>
  <si>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</si>
  <si>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</si>
  <si>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</si>
  <si>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</si>
  <si>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</si>
  <si>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</si>
  <si>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</si>
  <si>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</si>
  <si>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</si>
  <si>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</si>
  <si>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</si>
  <si>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</si>
  <si>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</si>
  <si>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</si>
  <si>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</si>
  <si>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</si>
  <si>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</si>
  <si>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</si>
  <si>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</si>
  <si>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</si>
  <si>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</si>
  <si>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</si>
  <si>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</si>
  <si>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</si>
  <si>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</si>
  <si>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</si>
  <si>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</si>
  <si>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</si>
  <si>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</si>
  <si>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</si>
  <si>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</si>
  <si>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</si>
  <si>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</si>
  <si>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</si>
  <si>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</si>
  <si>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</si>
  <si>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</si>
  <si>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</si>
  <si>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</si>
  <si>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</si>
  <si>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</si>
  <si>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</si>
  <si>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</si>
  <si>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</si>
  <si>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</si>
  <si>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</si>
  <si>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</si>
  <si>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</si>
  <si>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</si>
  <si>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</si>
  <si>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</si>
  <si>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</si>
  <si>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</si>
  <si>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</si>
  <si>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</si>
  <si>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</si>
  <si>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</si>
  <si>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</si>
  <si>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</si>
  <si>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</si>
  <si>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</si>
  <si>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</si>
  <si>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</si>
  <si>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</si>
  <si>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</si>
  <si>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</si>
  <si>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</si>
  <si>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</si>
  <si>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</si>
  <si>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</si>
  <si>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</si>
  <si>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</si>
  <si>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</si>
  <si>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</si>
  <si>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</si>
  <si>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</si>
  <si>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</si>
  <si>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</si>
  <si>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</si>
  <si>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</si>
  <si>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</si>
  <si>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</si>
  <si>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</si>
  <si>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</si>
  <si>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</si>
  <si>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</si>
  <si>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</si>
  <si>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</si>
  <si>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</si>
  <si>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</si>
  <si>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</si>
  <si>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</si>
  <si>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</si>
  <si>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</si>
  <si>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</si>
  <si>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</si>
  <si>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</si>
  <si>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</si>
  <si>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</si>
  <si>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</si>
  <si>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</si>
  <si>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</si>
  <si>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</si>
  <si>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</si>
  <si>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</si>
  <si>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</si>
  <si>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</si>
  <si>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</si>
  <si>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</si>
  <si>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</si>
  <si>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</si>
  <si>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</si>
  <si>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</si>
  <si>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</si>
  <si>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</si>
  <si>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</si>
  <si>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</si>
  <si>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</si>
  <si>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</si>
  <si>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</si>
  <si>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</si>
  <si>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</si>
  <si>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</si>
  <si>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</si>
  <si>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</si>
  <si>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</si>
  <si>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</si>
  <si>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</si>
  <si>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</si>
  <si>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</si>
  <si>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</si>
  <si>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</si>
  <si>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</si>
  <si>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</si>
  <si>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</si>
  <si>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</si>
  <si>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</si>
  <si>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</si>
  <si>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</si>
  <si>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</si>
  <si>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</si>
  <si>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</si>
  <si>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</si>
  <si>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</si>
  <si>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</si>
  <si>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</si>
  <si>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</si>
  <si>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</si>
  <si>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</si>
  <si>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</si>
  <si>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</si>
  <si>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</si>
  <si>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</si>
  <si>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</si>
  <si>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</si>
  <si>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</si>
  <si>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</si>
  <si>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</si>
  <si>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</si>
  <si>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</si>
  <si>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</si>
  <si>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</si>
  <si>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</si>
  <si>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</si>
  <si>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</si>
  <si>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</si>
  <si>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</si>
  <si>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</si>
  <si>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</si>
  <si>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</si>
  <si>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</si>
  <si>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</si>
  <si>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</si>
  <si>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</si>
  <si>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</si>
  <si>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</si>
  <si>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</si>
  <si>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</si>
  <si>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</si>
  <si>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</si>
  <si>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</si>
  <si>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</si>
  <si>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</si>
  <si>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</si>
  <si>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</si>
  <si>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</si>
  <si>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</si>
  <si>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</si>
  <si>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</si>
  <si>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</si>
  <si>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</si>
  <si>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</si>
  <si>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</si>
  <si>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</si>
  <si>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</si>
  <si>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</si>
  <si>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</si>
  <si>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</si>
  <si>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</si>
  <si>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</si>
  <si>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</si>
  <si>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</si>
  <si>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</si>
  <si>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</si>
  <si>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</si>
  <si>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</si>
  <si>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</si>
  <si>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</si>
  <si>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</si>
  <si>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</si>
  <si>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</si>
  <si>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</si>
  <si>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</si>
  <si>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</si>
  <si>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</si>
  <si>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</si>
  <si>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</si>
  <si>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</si>
  <si>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</si>
  <si>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</si>
  <si>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</si>
  <si>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</si>
  <si>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</si>
  <si>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</si>
  <si>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</si>
  <si>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</si>
  <si>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</si>
  <si>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</si>
  <si>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</si>
  <si>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</si>
  <si>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</si>
  <si>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</si>
  <si>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</si>
  <si>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</si>
  <si>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</si>
  <si>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</si>
  <si>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</si>
  <si>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</si>
  <si>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</si>
  <si>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</si>
  <si>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</si>
  <si>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</si>
  <si>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</si>
  <si>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</si>
  <si>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</si>
  <si>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</si>
  <si>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</si>
  <si>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</si>
  <si>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</si>
  <si>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</si>
  <si>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</si>
  <si>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</si>
  <si>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</si>
  <si>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</si>
  <si>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</si>
  <si>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</si>
  <si>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</si>
  <si>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</si>
  <si>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</si>
  <si>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</si>
  <si>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</si>
  <si>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</si>
  <si>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</si>
  <si>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</si>
  <si>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</si>
  <si>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</si>
  <si>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</si>
  <si>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</si>
  <si>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</si>
  <si>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</si>
  <si>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</si>
  <si>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</si>
  <si>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</si>
  <si>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</si>
  <si>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</si>
  <si>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</si>
  <si>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</si>
  <si>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</si>
  <si>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</si>
  <si>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</si>
  <si>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</si>
  <si>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</si>
  <si>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</si>
  <si>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</si>
  <si>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</si>
  <si>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</si>
  <si>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</si>
  <si>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</si>
  <si>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</si>
  <si>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</si>
  <si>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</si>
  <si>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</si>
  <si>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</si>
  <si>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</si>
  <si>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</si>
  <si>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</si>
  <si>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</si>
  <si>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</si>
  <si>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</si>
  <si>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</si>
  <si>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</si>
  <si>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</si>
  <si>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</si>
  <si>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</si>
  <si>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</si>
  <si>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</si>
  <si>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</si>
  <si>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</si>
  <si>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</si>
  <si>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</si>
  <si>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</si>
  <si>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</si>
  <si>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</si>
  <si>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</si>
  <si>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</si>
  <si>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</si>
  <si>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</si>
  <si>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</si>
  <si>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</si>
  <si>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</si>
  <si>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</si>
  <si>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</si>
  <si>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</si>
  <si>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</si>
  <si>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</si>
  <si>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</si>
  <si>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</si>
  <si>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</si>
  <si>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</si>
  <si>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</si>
  <si>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</si>
  <si>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</si>
  <si>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</si>
  <si>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</si>
  <si>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</si>
  <si>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</si>
  <si>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</si>
  <si>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</si>
  <si>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</si>
  <si>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</si>
  <si>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</si>
  <si>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</si>
  <si>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</si>
  <si>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</si>
  <si>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</si>
  <si>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</si>
  <si>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</si>
  <si>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</si>
  <si>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</si>
  <si>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</si>
  <si>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</si>
  <si>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</si>
  <si>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</si>
  <si>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</si>
  <si>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</si>
  <si>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</si>
  <si>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</si>
  <si>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</si>
  <si>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</si>
  <si>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</si>
  <si>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</si>
  <si>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</si>
  <si>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</si>
  <si>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</si>
  <si>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</si>
  <si>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</si>
  <si>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</si>
  <si>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</si>
  <si>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</si>
  <si>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</si>
  <si>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</si>
  <si>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</si>
  <si>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</si>
  <si>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</si>
  <si>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</si>
  <si>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</si>
  <si>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</si>
  <si>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</si>
  <si>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</si>
  <si>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</si>
  <si>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</si>
  <si>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</si>
  <si>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</si>
  <si>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</si>
  <si>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</si>
  <si>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</si>
  <si>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</si>
  <si>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</si>
  <si>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</si>
  <si>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</si>
  <si>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</si>
  <si>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</si>
  <si>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</si>
  <si>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</si>
  <si>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</si>
  <si>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</si>
  <si>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</si>
  <si>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</si>
  <si>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</si>
  <si>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</si>
  <si>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</si>
  <si>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</si>
  <si>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</si>
  <si>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</si>
  <si>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</si>
  <si>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</si>
  <si>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</si>
  <si>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</si>
  <si>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</si>
  <si>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</si>
  <si>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</si>
  <si>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</si>
  <si>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</si>
  <si>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</si>
  <si>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</si>
  <si>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</si>
  <si>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</si>
  <si>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</si>
  <si>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</si>
  <si>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</si>
  <si>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</si>
  <si>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</si>
  <si>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</si>
  <si>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</si>
  <si>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</si>
  <si>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</si>
  <si>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</si>
  <si>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</si>
  <si>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</si>
  <si>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</si>
  <si>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</si>
  <si>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</si>
  <si>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</si>
  <si>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</si>
  <si>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</si>
  <si>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</si>
  <si>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</si>
  <si>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</si>
  <si>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</si>
  <si>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</si>
  <si>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</si>
  <si>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</si>
  <si>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</si>
  <si>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</si>
  <si>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</si>
  <si>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</si>
  <si>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</si>
  <si>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</si>
  <si>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</si>
  <si>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</si>
  <si>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</si>
  <si>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</si>
  <si>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</si>
  <si>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</si>
  <si>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</si>
  <si>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</si>
  <si>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</si>
  <si>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</si>
  <si>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</si>
  <si>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</si>
  <si>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</si>
  <si>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</si>
  <si>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</si>
  <si>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</si>
  <si>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</si>
  <si>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</si>
  <si>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</si>
  <si>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</si>
  <si>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</si>
  <si>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</si>
  <si>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</si>
  <si>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</si>
  <si>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</si>
  <si>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</si>
  <si>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</si>
  <si>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</si>
  <si>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</si>
  <si>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</si>
  <si>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</si>
  <si>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</si>
  <si>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</si>
  <si>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</si>
  <si>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</si>
  <si>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</si>
  <si>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</si>
  <si>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</si>
  <si>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</si>
  <si>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</si>
  <si>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</si>
  <si>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</si>
  <si>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</si>
  <si>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</si>
  <si>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</si>
  <si>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</si>
  <si>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</si>
  <si>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</si>
  <si>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</si>
  <si>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</si>
  <si>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</si>
  <si>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</si>
  <si>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</si>
  <si>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</si>
  <si>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</si>
  <si>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</si>
  <si>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</si>
  <si>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</si>
  <si>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</si>
  <si>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</si>
  <si>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</si>
  <si>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</si>
  <si>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</si>
  <si>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</si>
  <si>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</si>
  <si>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</si>
  <si>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</si>
  <si>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</si>
  <si>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</si>
  <si>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</si>
  <si>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</si>
  <si>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</si>
  <si>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</si>
  <si>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</si>
  <si>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</si>
  <si>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</si>
  <si>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</si>
  <si>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</si>
  <si>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</si>
  <si>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</si>
  <si>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</si>
  <si>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</si>
  <si>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</si>
  <si>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</si>
  <si>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</si>
  <si>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</si>
  <si>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</si>
  <si>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</si>
  <si>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</si>
  <si>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</si>
  <si>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</si>
  <si>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</si>
  <si>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</si>
  <si>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</si>
  <si>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</si>
  <si>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</si>
  <si>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</si>
  <si>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</si>
  <si>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</si>
  <si>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</si>
  <si>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</si>
  <si>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</si>
  <si>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</si>
  <si>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</si>
  <si>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</si>
  <si>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</si>
  <si>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</si>
  <si>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</si>
  <si>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</si>
  <si>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</si>
  <si>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</si>
  <si>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</si>
  <si>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</si>
  <si>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</si>
  <si>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</si>
  <si>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</si>
  <si>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</si>
  <si>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</si>
  <si>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</si>
  <si>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</si>
  <si>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</si>
  <si>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</si>
  <si>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</si>
  <si>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</si>
  <si>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</si>
  <si>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</si>
  <si>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</si>
  <si>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</si>
  <si>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</si>
  <si>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</si>
  <si>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</si>
  <si>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</si>
  <si>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</si>
  <si>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</si>
  <si>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</si>
  <si>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</si>
  <si>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</si>
  <si>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</si>
  <si>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</si>
  <si>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</si>
  <si>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</si>
  <si>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</si>
  <si>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</si>
  <si>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</si>
  <si>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</si>
  <si>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</si>
  <si>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</si>
  <si>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</si>
  <si>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</si>
  <si>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</si>
  <si>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</si>
  <si>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</si>
  <si>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</si>
  <si>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</si>
  <si>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</si>
  <si>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</si>
  <si>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</si>
  <si>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</si>
  <si>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</si>
  <si>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</si>
  <si>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</si>
  <si>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</si>
  <si>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</si>
  <si>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</si>
  <si>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</si>
  <si>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</si>
  <si>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</si>
  <si>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</si>
  <si>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</si>
  <si>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</si>
  <si>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</si>
  <si>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</si>
  <si>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</si>
  <si>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</si>
  <si>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</si>
  <si>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</si>
  <si>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</si>
  <si>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</si>
  <si>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</si>
  <si>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</si>
  <si>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</si>
  <si>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</si>
  <si>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</si>
  <si>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</si>
  <si>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</si>
  <si>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</si>
  <si>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</si>
  <si>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</si>
  <si>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</si>
  <si>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</si>
  <si>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</si>
  <si>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</si>
  <si>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</si>
  <si>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</si>
  <si>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</si>
  <si>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</si>
  <si>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</si>
  <si>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</si>
  <si>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</si>
  <si>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</si>
  <si>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</si>
  <si>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</si>
  <si>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</si>
  <si>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</si>
  <si>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</si>
  <si>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</si>
  <si>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</si>
  <si>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</si>
  <si>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</si>
  <si>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</si>
  <si>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</si>
  <si>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</si>
  <si>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</si>
  <si>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</si>
  <si>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</si>
  <si>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</si>
  <si>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</si>
  <si>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</si>
  <si>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</si>
  <si>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</si>
  <si>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</si>
  <si>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</si>
  <si>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</si>
  <si>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</si>
  <si>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</si>
  <si>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</si>
  <si>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</si>
  <si>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</si>
  <si>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</si>
  <si>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</si>
  <si>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</si>
  <si>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</si>
  <si>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</si>
  <si>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</si>
  <si>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</si>
  <si>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</si>
  <si>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</si>
  <si>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</si>
  <si>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</si>
  <si>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</si>
  <si>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</si>
  <si>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</si>
  <si>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</si>
  <si>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</si>
  <si>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</si>
  <si>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</si>
  <si>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</si>
  <si>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</si>
  <si>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</si>
  <si>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</si>
  <si>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</si>
  <si>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</si>
  <si>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</si>
  <si>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</si>
  <si>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</si>
  <si>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</si>
  <si>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</si>
  <si>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</si>
  <si>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</si>
  <si>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</si>
  <si>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</si>
  <si>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</si>
  <si>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</si>
  <si>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</si>
  <si>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</si>
  <si>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</si>
  <si>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</si>
  <si>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</si>
  <si>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</si>
  <si>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</si>
  <si>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</si>
  <si>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</si>
  <si>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</si>
  <si>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</si>
  <si>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</si>
  <si>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</si>
  <si>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</si>
  <si>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</si>
  <si>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</si>
  <si>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</si>
  <si>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</si>
  <si>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</si>
  <si>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</si>
  <si>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</si>
  <si>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</si>
  <si>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</si>
  <si>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</si>
  <si>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</si>
  <si>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</si>
  <si>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</si>
  <si>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</si>
  <si>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</si>
  <si>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</si>
  <si>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</si>
  <si>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</si>
  <si>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</si>
  <si>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</si>
  <si>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</si>
  <si>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</si>
  <si>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</si>
  <si>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</si>
  <si>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</si>
  <si>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</si>
  <si>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</si>
  <si>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</si>
  <si>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</si>
  <si>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</si>
  <si>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</si>
  <si>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</si>
  <si>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</si>
  <si>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</si>
  <si>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</si>
  <si>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</si>
  <si>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</si>
  <si>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</si>
  <si>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</si>
  <si>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</si>
  <si>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</si>
  <si>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</si>
  <si>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</si>
  <si>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</si>
  <si>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</si>
  <si>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</si>
  <si>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</si>
  <si>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</si>
  <si>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</si>
  <si>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</si>
  <si>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</si>
  <si>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</si>
  <si>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</si>
  <si>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</si>
  <si>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</si>
  <si>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</si>
  <si>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</si>
  <si>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</si>
  <si>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</si>
  <si>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</si>
  <si>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</si>
  <si>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</si>
  <si>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</si>
  <si>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</si>
  <si>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</si>
  <si>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</si>
  <si>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</si>
  <si>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</si>
  <si>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</si>
  <si>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</si>
  <si>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</si>
  <si>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</si>
  <si>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</si>
  <si>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</si>
  <si>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</si>
  <si>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</si>
  <si>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</si>
  <si>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</si>
  <si>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</si>
  <si>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</si>
  <si>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</si>
  <si>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</si>
  <si>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</si>
  <si>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</si>
  <si>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</si>
  <si>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</si>
  <si>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</si>
  <si>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</si>
  <si>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</si>
  <si>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</si>
  <si>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</si>
  <si>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</si>
  <si>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</si>
  <si>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</si>
  <si>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</si>
  <si>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</si>
  <si>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</si>
  <si>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</si>
  <si>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</si>
  <si>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</si>
  <si>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</si>
  <si>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</si>
  <si>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</si>
  <si>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</si>
  <si>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</si>
  <si>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</si>
  <si>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</si>
  <si>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</si>
  <si>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</si>
  <si>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</si>
  <si>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</si>
  <si>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</si>
  <si>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</si>
  <si>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</si>
  <si>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</si>
  <si>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</si>
  <si>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</si>
  <si>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</si>
  <si>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</si>
  <si>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</si>
  <si>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</si>
  <si>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</si>
  <si>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</si>
  <si>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</si>
  <si>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</si>
  <si>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</si>
  <si>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</si>
  <si>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</si>
  <si>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</si>
  <si>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</si>
  <si>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</si>
  <si>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</si>
  <si>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</si>
  <si>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</si>
  <si>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</si>
  <si>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</si>
  <si>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</si>
  <si>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</si>
  <si>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</si>
  <si>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</si>
  <si>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</si>
  <si>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</si>
  <si>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</si>
  <si>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</si>
  <si>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</si>
  <si>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</si>
  <si>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</si>
  <si>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</si>
  <si>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</si>
  <si>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</si>
  <si>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</si>
  <si>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</si>
  <si>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</si>
  <si>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</si>
  <si>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</si>
  <si>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</si>
  <si>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</si>
  <si>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</si>
  <si>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</si>
  <si>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</si>
  <si>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</si>
  <si>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</si>
  <si>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</si>
  <si>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</si>
  <si>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</si>
  <si>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</si>
  <si>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</si>
  <si>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</si>
  <si>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</si>
  <si>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</si>
  <si>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</si>
  <si>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</si>
  <si>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</si>
  <si>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</si>
  <si>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</si>
  <si>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</si>
  <si>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</si>
  <si>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</si>
  <si>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</si>
  <si>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</si>
  <si>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</si>
  <si>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</si>
  <si>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</si>
  <si>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</si>
  <si>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</si>
  <si>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</si>
  <si>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</si>
  <si>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</si>
  <si>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</si>
  <si>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</si>
  <si>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</si>
  <si>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</si>
  <si>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</si>
  <si>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</si>
  <si>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</si>
  <si>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</si>
  <si>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</si>
  <si>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</si>
  <si>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</si>
  <si>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</si>
  <si>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</si>
  <si>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</si>
  <si>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</si>
  <si>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</si>
  <si>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</si>
  <si>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</si>
  <si>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</si>
  <si>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</si>
  <si>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</si>
  <si>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</si>
  <si>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</si>
  <si>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</si>
  <si>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</si>
  <si>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</si>
  <si>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</si>
  <si>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</si>
  <si>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</si>
  <si>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</si>
  <si>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</si>
  <si>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</si>
  <si>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</si>
  <si>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</si>
  <si>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</si>
  <si>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</si>
  <si>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</si>
  <si>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</si>
  <si>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</si>
  <si>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</si>
  <si>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</si>
  <si>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</si>
  <si>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</si>
  <si>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</si>
  <si>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</si>
  <si>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</si>
  <si>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</si>
  <si>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</si>
  <si>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</si>
  <si>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</si>
  <si>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</si>
  <si>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</si>
  <si>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</si>
  <si>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</si>
  <si>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</si>
  <si>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</si>
  <si>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</si>
  <si>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</si>
  <si>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</si>
  <si>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</si>
  <si>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</si>
  <si>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</si>
  <si>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</si>
  <si>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</si>
  <si>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</si>
  <si>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</si>
  <si>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</si>
  <si>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</si>
  <si>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</si>
  <si>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</si>
  <si>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</si>
  <si>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</si>
  <si>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</si>
  <si>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</si>
  <si>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</si>
  <si>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</si>
  <si>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</si>
  <si>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</si>
  <si>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</si>
  <si>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</si>
  <si>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</si>
  <si>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</si>
  <si>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</si>
  <si>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</si>
  <si>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</si>
  <si>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</si>
  <si>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</si>
  <si>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</si>
  <si>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</si>
  <si>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</si>
  <si>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</si>
  <si>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</si>
  <si>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</si>
  <si>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</si>
  <si>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</si>
  <si>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</si>
  <si>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</si>
  <si>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</si>
  <si>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</si>
  <si>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</si>
  <si>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</si>
  <si>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</si>
  <si>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</si>
  <si>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</si>
  <si>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</si>
  <si>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</si>
  <si>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</si>
  <si>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</si>
  <si>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</si>
  <si>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</si>
  <si>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</si>
  <si>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</si>
  <si>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</si>
  <si>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</si>
  <si>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</si>
  <si>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</si>
  <si>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</si>
  <si>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</si>
  <si>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</si>
  <si>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</si>
  <si>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</si>
  <si>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</si>
  <si>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</si>
  <si>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</si>
  <si>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</si>
  <si>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</si>
  <si>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</si>
  <si>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</si>
  <si>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</si>
  <si>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</si>
  <si>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</si>
  <si>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</si>
  <si>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</si>
  <si>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</si>
  <si>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</si>
  <si>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</si>
  <si>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</si>
  <si>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</si>
  <si>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</si>
  <si>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</si>
  <si>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</si>
  <si>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</si>
  <si>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</si>
  <si>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</si>
  <si>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</si>
  <si>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</si>
  <si>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</si>
  <si>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</si>
  <si>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</si>
  <si>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</si>
  <si>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</si>
  <si>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</si>
  <si>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</si>
  <si>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</si>
  <si>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</si>
  <si>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</si>
  <si>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</si>
  <si>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</si>
  <si>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</si>
  <si>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</si>
  <si>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</si>
  <si>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</si>
  <si>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</si>
  <si>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</si>
  <si>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</si>
  <si>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</si>
  <si>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</si>
  <si>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</si>
  <si>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</si>
  <si>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</si>
  <si>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</si>
  <si>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</si>
  <si>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</si>
  <si>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</si>
  <si>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</si>
  <si>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</si>
  <si>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</si>
  <si>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</si>
  <si>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</si>
  <si>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</si>
  <si>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</si>
  <si>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</si>
  <si>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</si>
  <si>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</si>
  <si>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</si>
  <si>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</si>
  <si>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</si>
  <si>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</si>
  <si>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</si>
  <si>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</si>
  <si>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</si>
  <si>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</si>
  <si>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</si>
  <si>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</si>
  <si>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</si>
  <si>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</si>
  <si>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</si>
  <si>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</si>
  <si>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</si>
  <si>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</si>
  <si>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</si>
  <si>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</si>
  <si>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</si>
  <si>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</si>
  <si>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</si>
  <si>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</si>
  <si>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</si>
  <si>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</si>
  <si>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</si>
  <si>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</si>
  <si>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</si>
  <si>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</si>
  <si>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</si>
  <si>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</si>
  <si>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</si>
  <si>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</si>
  <si>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</si>
  <si>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</si>
  <si>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</si>
  <si>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</si>
  <si>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</si>
  <si>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</si>
  <si>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</si>
  <si>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</si>
  <si>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</si>
  <si>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</si>
  <si>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</si>
  <si>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</si>
  <si>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</si>
  <si>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</si>
  <si>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</si>
  <si>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</si>
  <si>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</si>
  <si>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</si>
  <si>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</si>
  <si>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</si>
  <si>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</si>
  <si>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</si>
  <si>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</si>
  <si>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</si>
  <si>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</si>
  <si>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</si>
  <si>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</si>
  <si>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</si>
  <si>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</si>
  <si>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</si>
  <si>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</si>
  <si>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</si>
  <si>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</si>
  <si>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</si>
  <si>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</si>
  <si>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</si>
  <si>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</si>
  <si>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</si>
  <si>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</si>
  <si>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</si>
  <si>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</si>
  <si>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</si>
  <si>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</si>
  <si>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</si>
  <si>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</si>
  <si>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</si>
  <si>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</si>
  <si>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</si>
  <si>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</si>
  <si>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</si>
  <si>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</si>
  <si>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</si>
  <si>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</si>
  <si>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</si>
  <si>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</si>
  <si>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</si>
  <si>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</si>
  <si>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</si>
  <si>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</si>
  <si>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</si>
  <si>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</si>
  <si>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</si>
  <si>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</si>
  <si>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</si>
  <si>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</si>
  <si>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</si>
  <si>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</si>
  <si>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</si>
  <si>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</si>
  <si>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</si>
  <si>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</si>
  <si>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</si>
  <si>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</si>
  <si>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</si>
  <si>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</si>
  <si>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</si>
  <si>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</si>
  <si>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</si>
  <si>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</si>
  <si>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</si>
  <si>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</si>
  <si>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</si>
  <si>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</si>
  <si>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</si>
  <si>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</si>
  <si>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</si>
  <si>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</si>
  <si>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</si>
  <si>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</si>
  <si>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</si>
  <si>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</si>
  <si>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</si>
  <si>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</si>
  <si>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</si>
  <si>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</si>
  <si>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</si>
  <si>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</si>
  <si>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</si>
  <si>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</si>
  <si>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</si>
  <si>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</si>
  <si>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</si>
  <si>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</si>
  <si>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</si>
  <si>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</si>
  <si>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</si>
  <si>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</si>
  <si>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</si>
  <si>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</si>
  <si>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</si>
  <si>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</si>
  <si>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</si>
  <si>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</si>
  <si>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</si>
  <si>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</si>
  <si>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</si>
  <si>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</si>
  <si>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</si>
  <si>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</si>
  <si>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</si>
  <si>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</si>
  <si>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</si>
  <si>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</si>
  <si>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</si>
  <si>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</si>
  <si>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</si>
  <si>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</si>
  <si>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</si>
  <si>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</si>
  <si>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</si>
  <si>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</si>
  <si>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</si>
  <si>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</si>
  <si>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</si>
  <si>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</si>
  <si>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</si>
  <si>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</si>
  <si>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</si>
  <si>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</si>
  <si>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</si>
  <si>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</si>
  <si>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</si>
  <si>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</si>
  <si>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</si>
  <si>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</si>
  <si>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</si>
  <si>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</si>
  <si>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</si>
  <si>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</si>
  <si>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</si>
  <si>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</si>
  <si>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</si>
  <si>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</si>
  <si>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</si>
  <si>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</si>
  <si>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</si>
  <si>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</si>
  <si>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</si>
  <si>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</si>
  <si>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</si>
  <si>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</si>
  <si>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</si>
  <si>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</si>
  <si>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</si>
  <si>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</si>
  <si>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</si>
  <si>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</si>
  <si>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</si>
  <si>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</si>
  <si>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</si>
  <si>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</si>
  <si>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</si>
  <si>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</si>
  <si>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</si>
  <si>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</si>
  <si>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</si>
  <si>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</si>
  <si>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</si>
  <si>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</si>
  <si>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</si>
  <si>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</si>
  <si>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</si>
  <si>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</si>
  <si>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</si>
  <si>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</si>
  <si>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</si>
  <si>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</si>
  <si>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</si>
  <si>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</si>
  <si>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</si>
  <si>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</si>
  <si>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</si>
  <si>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</si>
  <si>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</si>
  <si>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</si>
  <si>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</si>
  <si>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</si>
  <si>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</si>
  <si>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</si>
  <si>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</si>
  <si>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</si>
  <si>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</si>
  <si>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</si>
  <si>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</si>
  <si>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</si>
  <si>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</si>
  <si>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</si>
  <si>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</si>
  <si>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</si>
  <si>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</si>
  <si>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</si>
  <si>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</si>
  <si>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</si>
  <si>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</si>
  <si>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</si>
  <si>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</si>
  <si>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</si>
  <si>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</si>
  <si>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</si>
  <si>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</si>
  <si>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</si>
  <si>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</si>
  <si>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</si>
  <si>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</si>
  <si>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</si>
  <si>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</si>
  <si>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</si>
  <si>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</si>
  <si>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</si>
  <si>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</si>
  <si>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</si>
  <si>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</si>
  <si>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</si>
  <si>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</si>
  <si>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</si>
  <si>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</si>
  <si>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</si>
  <si>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</si>
  <si>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</si>
  <si>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</si>
  <si>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</si>
  <si>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</si>
  <si>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</si>
  <si>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</si>
  <si>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</si>
  <si>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</si>
  <si>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</si>
  <si>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</si>
  <si>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</si>
  <si>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</si>
  <si>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</si>
  <si>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</si>
  <si>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</si>
  <si>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</si>
  <si>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</si>
  <si>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</si>
  <si>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</si>
  <si>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</si>
  <si>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</si>
  <si>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</si>
  <si>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</si>
  <si>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</si>
  <si>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</si>
  <si>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</si>
  <si>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</si>
  <si>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</si>
  <si>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</si>
  <si>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</si>
  <si>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</si>
  <si>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</si>
  <si>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</si>
  <si>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</si>
  <si>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</si>
  <si>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</si>
  <si>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</si>
  <si>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</si>
  <si>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</si>
  <si>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</si>
  <si>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</si>
  <si>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</si>
  <si>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</si>
  <si>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</si>
  <si>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</si>
  <si>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</si>
  <si>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</si>
  <si>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</si>
  <si>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</si>
  <si>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</si>
  <si>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</si>
  <si>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</si>
  <si>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</si>
  <si>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</si>
  <si>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</si>
  <si>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</si>
  <si>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</si>
  <si>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</si>
  <si>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</si>
  <si>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</si>
  <si>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</si>
  <si>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</si>
  <si>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</si>
  <si>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</si>
  <si>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</si>
  <si>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</si>
  <si>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</si>
  <si>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</si>
  <si>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</si>
  <si>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</si>
  <si>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</si>
  <si>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</si>
  <si>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</si>
  <si>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</si>
  <si>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</si>
  <si>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</si>
  <si>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</si>
  <si>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</si>
  <si>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</si>
  <si>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</si>
  <si>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</si>
  <si>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</si>
  <si>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</si>
  <si>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</si>
  <si>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</si>
  <si>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</si>
  <si>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</si>
  <si>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</si>
  <si>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</si>
  <si>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</si>
  <si>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</si>
  <si>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</si>
  <si>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</si>
  <si>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</si>
  <si>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</si>
  <si>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</si>
  <si>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</si>
  <si>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</si>
  <si>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</si>
  <si>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</si>
  <si>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</si>
  <si>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</si>
  <si>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</si>
  <si>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</si>
  <si>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</si>
  <si>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</si>
  <si>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</si>
  <si>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</si>
  <si>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</si>
  <si>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</si>
  <si>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</si>
  <si>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</si>
  <si>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</si>
  <si>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</si>
  <si>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</si>
  <si>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</si>
  <si>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</si>
  <si>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</si>
  <si>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</si>
  <si>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</si>
  <si>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</si>
  <si>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</si>
  <si>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</si>
  <si>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</si>
  <si>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</si>
  <si>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</si>
  <si>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</si>
  <si>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</si>
  <si>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</si>
  <si>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</si>
  <si>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</si>
  <si>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</si>
  <si>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</si>
  <si>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</si>
  <si>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</si>
  <si>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</si>
  <si>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</si>
  <si>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</si>
  <si>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</si>
  <si>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</si>
  <si>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</si>
  <si>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</si>
  <si>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</si>
  <si>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</si>
  <si>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</si>
  <si>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</si>
  <si>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</si>
  <si>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</si>
  <si>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</si>
  <si>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</si>
  <si>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</si>
  <si>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</si>
  <si>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</si>
  <si>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</si>
  <si>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</si>
  <si>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</si>
  <si>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</si>
  <si>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</si>
  <si>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</si>
  <si>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</si>
  <si>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</si>
  <si>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</si>
  <si>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</si>
  <si>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</si>
  <si>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</si>
  <si>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</si>
  <si>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</si>
  <si>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</si>
  <si>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</si>
  <si>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</si>
  <si>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</si>
  <si>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</si>
  <si>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</si>
  <si>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</si>
  <si>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</si>
  <si>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</si>
  <si>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</si>
  <si>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</si>
  <si>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</si>
  <si>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</si>
  <si>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</si>
  <si>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</si>
  <si>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</si>
  <si>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</si>
  <si>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</si>
  <si>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</si>
  <si>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</si>
  <si>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</si>
  <si>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</si>
  <si>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</si>
  <si>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</si>
  <si>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</si>
  <si>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</si>
  <si>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</si>
  <si>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</si>
  <si>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</si>
  <si>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</si>
  <si>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</si>
  <si>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</si>
  <si>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</si>
  <si>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</si>
  <si>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</si>
  <si>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</si>
  <si>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</si>
  <si>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</si>
  <si>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</si>
  <si>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</si>
  <si>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</si>
  <si>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</si>
  <si>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</si>
  <si>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</si>
  <si>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</si>
  <si>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</si>
  <si>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</si>
  <si>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</si>
  <si>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</si>
  <si>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</si>
  <si>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</si>
  <si>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</si>
  <si>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</si>
  <si>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</si>
  <si>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</si>
  <si>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</si>
  <si>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</si>
  <si>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</si>
  <si>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</si>
  <si>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</si>
  <si>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</si>
  <si>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</si>
  <si>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</si>
  <si>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</si>
  <si>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</si>
  <si>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</si>
  <si>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</si>
  <si>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</si>
  <si>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</si>
  <si>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</si>
  <si>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</si>
  <si>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</si>
  <si>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</si>
  <si>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</si>
  <si>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</si>
  <si>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</si>
  <si>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</si>
  <si>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</si>
  <si>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</si>
  <si>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</si>
  <si>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</si>
  <si>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</si>
  <si>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</si>
  <si>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</si>
  <si>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</si>
  <si>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</si>
  <si>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</si>
  <si>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</si>
  <si>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</si>
  <si>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</si>
  <si>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</si>
  <si>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</si>
  <si>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</si>
  <si>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</si>
  <si>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</si>
  <si>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</si>
  <si>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</si>
  <si>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</si>
  <si>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</si>
  <si>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</si>
  <si>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</si>
  <si>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</si>
  <si>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</si>
  <si>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</si>
  <si>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</si>
  <si>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</si>
  <si>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</si>
  <si>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</si>
  <si>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</si>
  <si>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</si>
  <si>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</si>
  <si>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</si>
  <si>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</si>
  <si>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</si>
  <si>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</si>
  <si>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</si>
  <si>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</si>
  <si>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</si>
  <si>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</si>
  <si>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</si>
  <si>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</si>
  <si>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</si>
  <si>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</si>
  <si>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</si>
  <si>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</si>
  <si>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</si>
  <si>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</si>
  <si>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</si>
  <si>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</si>
  <si>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</si>
  <si>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</si>
  <si>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</si>
  <si>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</si>
  <si>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</si>
  <si>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</si>
  <si>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</si>
  <si>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</si>
  <si>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</si>
  <si>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</si>
  <si>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</si>
  <si>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</si>
  <si>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</si>
  <si>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</si>
  <si>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</si>
  <si>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</si>
  <si>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</si>
  <si>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</si>
  <si>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</si>
  <si>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</si>
  <si>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</si>
  <si>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</si>
  <si>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</si>
  <si>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</si>
  <si>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</si>
  <si>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</si>
  <si>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</si>
  <si>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</si>
  <si>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</si>
  <si>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</si>
  <si>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</si>
  <si>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</si>
  <si>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</si>
  <si>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</si>
  <si>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</si>
  <si>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</si>
  <si>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</si>
  <si>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</si>
  <si>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</si>
  <si>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</si>
  <si>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</si>
  <si>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</si>
  <si>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</si>
  <si>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</si>
  <si>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</si>
  <si>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</si>
  <si>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</si>
  <si>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</si>
  <si>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</si>
  <si>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</si>
  <si>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</si>
  <si>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</si>
  <si>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</si>
  <si>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</si>
  <si>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</si>
  <si>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</si>
  <si>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</si>
  <si>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</si>
  <si>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</si>
  <si>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</si>
  <si>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</si>
  <si>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</si>
  <si>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</si>
  <si>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</si>
  <si>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</si>
  <si>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</si>
  <si>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</si>
  <si>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</si>
  <si>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</si>
  <si>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</si>
  <si>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</si>
  <si>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</si>
  <si>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</si>
  <si>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</si>
  <si>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</si>
  <si>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</si>
  <si>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</si>
  <si>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</si>
  <si>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</si>
  <si>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</si>
  <si>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</si>
  <si>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</si>
  <si>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</si>
  <si>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</si>
  <si>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</si>
  <si>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</si>
  <si>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</si>
  <si>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</si>
  <si>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</si>
  <si>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</si>
  <si>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</si>
  <si>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</si>
  <si>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</si>
  <si>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</si>
  <si>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</si>
  <si>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</si>
  <si>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</si>
  <si>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</si>
  <si>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</si>
  <si>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</si>
  <si>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</si>
  <si>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</si>
  <si>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</si>
  <si>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</si>
  <si>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</si>
  <si>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</si>
  <si>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</si>
  <si>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</si>
  <si>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</si>
  <si>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</si>
  <si>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</si>
  <si>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</si>
  <si>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</si>
  <si>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</si>
  <si>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</si>
  <si>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</si>
  <si>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</si>
  <si>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</si>
  <si>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</si>
  <si>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</si>
  <si>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</si>
  <si>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</si>
  <si>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</si>
  <si>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</si>
  <si>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</si>
  <si>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</si>
  <si>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</si>
  <si>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</si>
  <si>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</si>
  <si>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</si>
  <si>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</si>
  <si>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</si>
  <si>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</si>
  <si>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</si>
  <si>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</si>
  <si>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</si>
  <si>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</si>
  <si>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</si>
  <si>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</si>
  <si>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</si>
  <si>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</si>
  <si>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</si>
  <si>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</si>
  <si>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</si>
  <si>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</si>
  <si>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</si>
  <si>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</si>
  <si>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</si>
  <si>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</si>
  <si>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</si>
  <si>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</si>
  <si>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</si>
  <si>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</si>
  <si>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</si>
  <si>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</si>
  <si>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</si>
  <si>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</si>
  <si>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</si>
  <si>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</si>
  <si>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</si>
  <si>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</si>
  <si>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</si>
  <si>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</si>
  <si>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</si>
  <si>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</si>
  <si>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</si>
  <si>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</si>
  <si>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</si>
  <si>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</si>
  <si>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</si>
  <si>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</si>
  <si>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</si>
  <si>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</si>
  <si>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</si>
  <si>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</si>
  <si>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</si>
  <si>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</si>
  <si>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</si>
  <si>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</si>
  <si>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</si>
  <si>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</si>
  <si>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</si>
  <si>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</si>
  <si>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</si>
  <si>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</si>
  <si>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</si>
  <si>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</si>
  <si>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</si>
  <si>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</si>
  <si>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</si>
  <si>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</si>
  <si>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</si>
  <si>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</si>
  <si>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</si>
  <si>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</si>
  <si>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</si>
  <si>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</si>
  <si>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</si>
  <si>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</si>
  <si>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</si>
  <si>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</si>
  <si>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</si>
  <si>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</si>
  <si>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</si>
  <si>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</si>
  <si>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</si>
  <si>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</si>
  <si>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</si>
  <si>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</si>
  <si>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</si>
  <si>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</si>
  <si>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</si>
  <si>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</si>
  <si>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</si>
  <si>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</si>
  <si>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</si>
  <si>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</si>
  <si>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</si>
  <si>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</si>
  <si>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</si>
  <si>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</si>
  <si>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</si>
  <si>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</si>
  <si>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</si>
  <si>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</si>
  <si>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</si>
  <si>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</si>
  <si>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</si>
  <si>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</si>
  <si>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</si>
  <si>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</si>
  <si>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</si>
  <si>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</si>
  <si>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</si>
  <si>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</si>
  <si>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</si>
  <si>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</si>
  <si>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</si>
  <si>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</si>
  <si>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</si>
  <si>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</si>
  <si>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</si>
  <si>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</si>
  <si>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</si>
  <si>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</si>
  <si>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</si>
  <si>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</si>
  <si>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</si>
  <si>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</si>
  <si>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</si>
  <si>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</si>
  <si>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</si>
  <si>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</si>
  <si>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</si>
  <si>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</si>
  <si>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</si>
  <si>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</si>
  <si>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</si>
  <si>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</si>
  <si>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</si>
  <si>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</si>
  <si>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</si>
  <si>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</si>
  <si>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</si>
  <si>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</si>
  <si>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</si>
  <si>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</si>
  <si>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</si>
  <si>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</si>
  <si>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</si>
  <si>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</si>
  <si>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</si>
  <si>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</si>
  <si>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</si>
  <si>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</si>
  <si>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</si>
  <si>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</si>
  <si>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</si>
  <si>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</si>
  <si>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</si>
  <si>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</si>
  <si>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</si>
  <si>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</si>
  <si>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</si>
  <si>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</si>
  <si>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</si>
  <si>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</si>
  <si>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</si>
  <si>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</si>
  <si>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</si>
  <si>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</si>
  <si>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</si>
  <si>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</si>
  <si>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</si>
  <si>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</si>
  <si>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</si>
  <si>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</si>
  <si>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</si>
  <si>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</si>
  <si>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</si>
  <si>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</si>
  <si>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</si>
  <si>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</si>
  <si>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</si>
  <si>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</si>
  <si>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</si>
  <si>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</si>
  <si>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</si>
  <si>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</si>
  <si>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</si>
  <si>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</si>
  <si>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</si>
  <si>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</si>
  <si>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</si>
  <si>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</si>
  <si>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</si>
  <si>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</si>
  <si>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</si>
  <si>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</si>
  <si>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</si>
  <si>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</si>
  <si>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</si>
  <si>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</si>
  <si>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</si>
  <si>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</si>
  <si>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</si>
  <si>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</si>
  <si>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</si>
  <si>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</si>
  <si>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</si>
  <si>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</si>
  <si>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</si>
  <si>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</si>
  <si>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</si>
  <si>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</si>
  <si>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</si>
  <si>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</si>
  <si>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</si>
  <si>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</si>
  <si>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</si>
  <si>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</si>
  <si>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</si>
  <si>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</si>
  <si>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</si>
  <si>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</si>
  <si>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</si>
  <si>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</si>
  <si>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</si>
  <si>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</si>
  <si>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</si>
  <si>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</si>
  <si>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</si>
  <si>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</si>
  <si>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</si>
  <si>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</si>
  <si>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</si>
  <si>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</si>
  <si>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</si>
  <si>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</si>
  <si>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</si>
  <si>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</si>
  <si>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</si>
  <si>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</si>
  <si>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</si>
  <si>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</si>
  <si>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</si>
  <si>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</si>
  <si>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</si>
  <si>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</si>
  <si>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</si>
  <si>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</si>
  <si>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</si>
  <si>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</si>
  <si>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</si>
  <si>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</si>
  <si>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</si>
  <si>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</si>
  <si>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</si>
  <si>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</si>
  <si>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</si>
  <si>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</si>
  <si>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</si>
  <si>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</si>
  <si>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</si>
  <si>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</si>
  <si>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</si>
  <si>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</si>
  <si>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</si>
  <si>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</si>
  <si>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</si>
  <si>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</si>
  <si>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</si>
  <si>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</si>
  <si>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</si>
  <si>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</si>
  <si>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</si>
  <si>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</si>
  <si>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</si>
  <si>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</si>
  <si>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</si>
  <si>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</si>
  <si>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</si>
  <si>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</si>
  <si>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</si>
  <si>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</si>
  <si>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</si>
  <si>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</si>
  <si>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</si>
  <si>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</si>
  <si>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</si>
  <si>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</si>
  <si>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</si>
  <si>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</si>
  <si>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</si>
  <si>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</si>
  <si>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</si>
  <si>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</si>
  <si>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</si>
  <si>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</si>
  <si>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</si>
  <si>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</si>
  <si>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</si>
  <si>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</si>
  <si>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</si>
  <si>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</si>
  <si>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</si>
  <si>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</si>
  <si>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</si>
  <si>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</si>
  <si>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</si>
  <si>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</si>
  <si>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</si>
  <si>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</si>
  <si>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</si>
  <si>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</si>
  <si>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</si>
  <si>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</si>
  <si>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</si>
  <si>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</si>
  <si>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</si>
  <si>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</si>
  <si>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</si>
  <si>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</si>
  <si>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</si>
  <si>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</si>
  <si>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</si>
  <si>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</si>
  <si>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</si>
  <si>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</si>
  <si>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</si>
  <si>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</si>
  <si>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</si>
  <si>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</si>
  <si>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</si>
  <si>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</si>
  <si>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</si>
  <si>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</si>
  <si>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</si>
  <si>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</si>
  <si>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</si>
  <si>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</si>
  <si>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</si>
  <si>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</si>
  <si>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</si>
  <si>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</si>
  <si>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</si>
  <si>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</si>
  <si>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</si>
  <si>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</si>
  <si>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</si>
  <si>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</si>
  <si>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</si>
  <si>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</si>
  <si>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</si>
  <si>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</si>
  <si>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</si>
  <si>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</si>
  <si>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</si>
  <si>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</si>
  <si>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</si>
  <si>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</si>
  <si>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</si>
  <si>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</si>
  <si>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</si>
  <si>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</si>
  <si>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</si>
  <si>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</si>
  <si>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</si>
  <si>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</si>
  <si>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</si>
  <si>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</si>
  <si>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</si>
  <si>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</si>
  <si>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</si>
  <si>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</si>
  <si>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</si>
  <si>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</si>
  <si>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</si>
  <si>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</si>
  <si>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</si>
  <si>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</si>
  <si>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</si>
  <si>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</si>
  <si>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</si>
  <si>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</si>
  <si>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</si>
  <si>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</si>
  <si>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</si>
  <si>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</si>
  <si>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</si>
  <si>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</si>
  <si>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</si>
  <si>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</si>
  <si>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</si>
  <si>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</si>
  <si>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</si>
  <si>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</si>
  <si>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</si>
  <si>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</si>
  <si>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</si>
  <si>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</si>
  <si>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</si>
  <si>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</si>
  <si>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</si>
  <si>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</si>
  <si>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</si>
  <si>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</si>
  <si>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</si>
  <si>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</si>
  <si>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</si>
  <si>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</si>
  <si>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</si>
  <si>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</si>
  <si>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</si>
  <si>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</si>
  <si>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</si>
  <si>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</si>
  <si>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</si>
  <si>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</si>
  <si>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</si>
  <si>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</si>
  <si>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</si>
  <si>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</si>
  <si>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</si>
  <si>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</si>
  <si>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</si>
  <si>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</si>
  <si>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</si>
  <si>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</si>
  <si>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</si>
  <si>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</si>
  <si>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</si>
  <si>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</si>
  <si>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</si>
  <si>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</si>
  <si>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</si>
  <si>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</si>
  <si>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</si>
  <si>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</si>
  <si>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</si>
  <si>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</si>
  <si>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</si>
  <si>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</si>
  <si>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</si>
  <si>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</si>
  <si>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</si>
  <si>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</si>
  <si>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</si>
  <si>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</si>
  <si>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</si>
  <si>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</si>
  <si>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</si>
  <si>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</si>
  <si>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</si>
  <si>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</si>
  <si>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</si>
  <si>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</si>
  <si>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</si>
  <si>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</si>
  <si>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</si>
  <si>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</si>
  <si>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</si>
  <si>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</si>
  <si>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</si>
  <si>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</si>
  <si>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</si>
  <si>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</si>
  <si>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</si>
  <si>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</si>
  <si>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</si>
  <si>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</si>
  <si>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</si>
  <si>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</si>
  <si>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</si>
  <si>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</si>
  <si>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</si>
  <si>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</si>
  <si>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</si>
  <si>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</si>
  <si>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</si>
  <si>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</si>
  <si>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</si>
  <si>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</si>
  <si>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</si>
  <si>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</si>
  <si>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</si>
  <si>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</si>
  <si>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</si>
  <si>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</si>
  <si>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</si>
  <si>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</si>
  <si>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</si>
  <si>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</si>
  <si>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</si>
  <si>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</si>
  <si>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</si>
  <si>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</si>
  <si>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</si>
  <si>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</si>
  <si>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</si>
  <si>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</si>
  <si>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</si>
  <si>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</si>
  <si>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</si>
  <si>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</si>
  <si>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</si>
  <si>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</si>
  <si>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</si>
  <si>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</si>
  <si>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</si>
  <si>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</si>
  <si>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</si>
  <si>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</si>
  <si>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</si>
  <si>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</si>
  <si>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</si>
  <si>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</si>
  <si>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</si>
  <si>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</si>
  <si>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</si>
  <si>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</si>
  <si>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</si>
  <si>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</si>
  <si>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</si>
  <si>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</si>
  <si>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</si>
  <si>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</si>
  <si>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</si>
  <si>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</si>
  <si>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</si>
  <si>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</si>
  <si>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</si>
  <si>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</si>
  <si>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</si>
  <si>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</si>
  <si>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</si>
  <si>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</si>
  <si>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</si>
  <si>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</si>
  <si>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</si>
  <si>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</si>
  <si>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</si>
  <si>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</si>
  <si>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</si>
  <si>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</si>
  <si>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</si>
  <si>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</si>
  <si>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</si>
  <si>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</si>
  <si>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</si>
  <si>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</si>
  <si>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</si>
  <si>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</si>
  <si>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</si>
  <si>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</si>
  <si>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</si>
  <si>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</si>
  <si>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</si>
  <si>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</si>
  <si>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</si>
  <si>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</si>
  <si>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</si>
  <si>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</si>
  <si>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</si>
  <si>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</si>
  <si>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</si>
  <si>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</si>
  <si>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</si>
  <si>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</si>
  <si>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</si>
  <si>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</si>
  <si>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</si>
  <si>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</si>
  <si>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</si>
  <si>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</si>
  <si>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</si>
  <si>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</si>
  <si>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</si>
  <si>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</si>
  <si>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</si>
  <si>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</si>
  <si>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</si>
  <si>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</si>
  <si>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</si>
  <si>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</si>
  <si>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</si>
  <si>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</si>
  <si>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</si>
  <si>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</si>
  <si>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</si>
  <si>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</si>
  <si>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</si>
  <si>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</si>
  <si>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</si>
  <si>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</si>
  <si>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</si>
  <si>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</si>
  <si>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</si>
  <si>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</si>
  <si>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</si>
  <si>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</si>
  <si>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</si>
  <si>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</si>
  <si>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</si>
  <si>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</si>
  <si>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</si>
  <si>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</si>
  <si>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</si>
  <si>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</si>
  <si>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</si>
  <si>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</si>
  <si>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</si>
  <si>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</si>
  <si>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</si>
  <si>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</si>
  <si>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</si>
  <si>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</si>
  <si>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</si>
  <si>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</si>
  <si>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</si>
  <si>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</si>
  <si>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</si>
  <si>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</si>
  <si>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</si>
  <si>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</si>
  <si>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</si>
  <si>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</si>
  <si>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</si>
  <si>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</si>
  <si>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</si>
  <si>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</si>
  <si>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</si>
  <si>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</si>
  <si>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</si>
  <si>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</si>
  <si>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</si>
  <si>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</si>
  <si>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</si>
  <si>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</si>
  <si>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</si>
  <si>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</si>
  <si>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</si>
  <si>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</si>
  <si>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</si>
  <si>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</si>
  <si>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</si>
  <si>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</si>
  <si>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</si>
  <si>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</si>
  <si>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</si>
  <si>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</si>
  <si>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</si>
  <si>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</si>
  <si>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</si>
  <si>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</si>
  <si>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</si>
  <si>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</si>
  <si>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</si>
  <si>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</si>
  <si>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</si>
  <si>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</si>
  <si>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</si>
  <si>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</si>
  <si>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</si>
  <si>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</si>
  <si>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</si>
  <si>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</si>
  <si>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</si>
  <si>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</si>
  <si>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</si>
  <si>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</si>
  <si>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</si>
  <si>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</si>
  <si>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</si>
  <si>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</si>
  <si>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</si>
  <si>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</si>
  <si>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</si>
  <si>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</si>
  <si>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</si>
  <si>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</si>
  <si>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</si>
  <si>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</si>
  <si>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</si>
  <si>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</si>
  <si>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</si>
  <si>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</si>
  <si>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</si>
  <si>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</si>
  <si>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</si>
  <si>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</si>
  <si>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</si>
  <si>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</si>
  <si>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</si>
  <si>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</si>
  <si>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</si>
  <si>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</si>
  <si>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</si>
  <si>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</si>
  <si>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</si>
  <si>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</si>
  <si>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</si>
  <si>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</si>
  <si>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</si>
  <si>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</si>
  <si>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</si>
  <si>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</si>
  <si>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</si>
  <si>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</si>
  <si>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</si>
  <si>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</si>
  <si>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</si>
  <si>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</si>
  <si>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</si>
  <si>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</si>
  <si>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</si>
  <si>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</si>
  <si>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</si>
  <si>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</si>
  <si>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</si>
  <si>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</si>
  <si>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</si>
  <si>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</si>
  <si>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</si>
  <si>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</si>
  <si>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</si>
  <si>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</si>
  <si>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</si>
  <si>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</si>
  <si>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</si>
  <si>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</si>
  <si>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</si>
  <si>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</si>
  <si>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</si>
  <si>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</si>
  <si>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</si>
  <si>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</si>
  <si>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</si>
  <si>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</si>
  <si>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</si>
  <si>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</si>
  <si>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</si>
  <si>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</si>
  <si>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</si>
  <si>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</si>
  <si>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</si>
  <si>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</si>
  <si>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</si>
  <si>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</si>
  <si>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</si>
  <si>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</si>
  <si>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</si>
  <si>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</si>
  <si>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</si>
  <si>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</si>
  <si>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</si>
  <si>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</si>
  <si>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</si>
  <si>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</si>
  <si>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</si>
  <si>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</si>
  <si>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</si>
  <si>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</si>
  <si>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</si>
  <si>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</si>
  <si>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</si>
  <si>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</si>
  <si>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</si>
  <si>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</si>
  <si>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</si>
  <si>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</si>
  <si>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</si>
  <si>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</si>
  <si>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</si>
  <si>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</si>
  <si>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</si>
  <si>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</si>
  <si>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</si>
  <si>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</si>
  <si>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</si>
  <si>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</si>
  <si>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</si>
  <si>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</si>
  <si>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</si>
  <si>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</si>
  <si>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</si>
  <si>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</si>
  <si>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</si>
  <si>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</si>
  <si>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</si>
  <si>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</si>
  <si>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</si>
  <si>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</si>
  <si>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</si>
  <si>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</si>
  <si>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</si>
  <si>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</si>
  <si>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</si>
  <si>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</si>
  <si>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</si>
  <si>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</si>
  <si>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</si>
  <si>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</si>
  <si>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</si>
  <si>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</si>
  <si>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</si>
  <si>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</si>
  <si>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</si>
  <si>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</si>
  <si>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</si>
  <si>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</si>
  <si>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</si>
  <si>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</si>
  <si>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</si>
  <si>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</si>
  <si>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</si>
  <si>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</si>
  <si>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</si>
  <si>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</si>
  <si>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</si>
  <si>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</si>
  <si>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</si>
  <si>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</si>
  <si>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</si>
  <si>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</si>
  <si>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</si>
  <si>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</si>
  <si>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</si>
  <si>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</si>
  <si>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</si>
  <si>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</si>
  <si>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</si>
  <si>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</si>
  <si>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</si>
  <si>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</si>
  <si>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</si>
  <si>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</si>
  <si>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</si>
  <si>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</si>
  <si>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</si>
  <si>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</si>
  <si>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</si>
  <si>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</si>
  <si>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</si>
  <si>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</si>
  <si>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</si>
  <si>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</si>
  <si>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</si>
  <si>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</si>
  <si>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</si>
  <si>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</si>
  <si>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</si>
  <si>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</si>
  <si>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</si>
  <si>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</si>
  <si>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</si>
  <si>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</si>
  <si>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</si>
  <si>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</si>
  <si>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</si>
  <si>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</si>
  <si>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</si>
  <si>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</si>
  <si>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</si>
  <si>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</si>
  <si>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</si>
  <si>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</si>
  <si>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</si>
  <si>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</si>
  <si>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</si>
  <si>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</si>
  <si>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</si>
  <si>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</si>
  <si>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</si>
  <si>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</si>
  <si>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</si>
  <si>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</si>
  <si>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</si>
  <si>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</si>
  <si>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</si>
  <si>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</si>
  <si>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</si>
  <si>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</si>
  <si>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</si>
  <si>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</si>
  <si>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</si>
  <si>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</si>
  <si>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</si>
  <si>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</si>
  <si>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</si>
  <si>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</si>
  <si>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</si>
  <si>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</si>
  <si>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</si>
  <si>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</si>
  <si>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</si>
  <si>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</si>
  <si>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</si>
  <si>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</si>
  <si>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</si>
  <si>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</si>
  <si>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</si>
  <si>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</si>
  <si>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</si>
  <si>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</si>
  <si>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</si>
  <si>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</si>
  <si>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</si>
  <si>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</si>
  <si>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</si>
  <si>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</si>
  <si>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</si>
  <si>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</si>
  <si>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</si>
  <si>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</si>
  <si>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</si>
  <si>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</si>
  <si>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</si>
  <si>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</si>
  <si>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</si>
  <si>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</si>
  <si>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</si>
  <si>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</si>
  <si>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</si>
  <si>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</si>
  <si>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</si>
  <si>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</si>
  <si>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</si>
  <si>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</si>
  <si>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</si>
  <si>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</si>
  <si>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</si>
  <si>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</si>
  <si>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</si>
  <si>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</si>
  <si>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</si>
  <si>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</si>
  <si>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</si>
  <si>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</si>
  <si>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</si>
  <si>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</si>
  <si>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</si>
  <si>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</si>
  <si>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</si>
  <si>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</si>
  <si>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</si>
  <si>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</si>
  <si>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</si>
  <si>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</si>
  <si>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</si>
  <si>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</si>
  <si>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</si>
  <si>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</si>
  <si>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</si>
  <si>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</si>
  <si>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</si>
  <si>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</si>
  <si>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</si>
  <si>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</si>
  <si>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</si>
  <si>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</si>
  <si>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</si>
  <si>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</si>
  <si>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</si>
  <si>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</si>
  <si>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</si>
  <si>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</si>
  <si>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</si>
  <si>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</si>
  <si>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</si>
  <si>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</si>
  <si>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</si>
  <si>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</si>
  <si>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</si>
  <si>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</si>
  <si>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</si>
  <si>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</si>
  <si>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</si>
  <si>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</si>
  <si>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</si>
  <si>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</si>
  <si>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</si>
  <si>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</si>
  <si>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</si>
  <si>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</si>
  <si>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</si>
  <si>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</si>
  <si>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</si>
  <si>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</si>
  <si>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</si>
  <si>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</si>
  <si>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</si>
  <si>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</si>
  <si>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</si>
  <si>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</si>
  <si>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</si>
  <si>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</si>
  <si>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</si>
  <si>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</si>
  <si>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</si>
  <si>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</si>
  <si>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</si>
  <si>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</si>
  <si>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</si>
  <si>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</si>
  <si>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</si>
  <si>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</si>
  <si>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</si>
  <si>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</si>
  <si>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</si>
  <si>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</si>
  <si>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</si>
  <si>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</si>
  <si>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</si>
  <si>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</si>
  <si>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</si>
  <si>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</si>
  <si>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</si>
  <si>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</si>
  <si>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</si>
  <si>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</si>
  <si>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</si>
  <si>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</si>
  <si>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</si>
  <si>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</si>
  <si>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</si>
  <si>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</si>
  <si>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</si>
  <si>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</si>
  <si>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</si>
  <si>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</si>
  <si>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</si>
  <si>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</si>
  <si>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</si>
  <si>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</si>
  <si>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</si>
  <si>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</si>
  <si>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</si>
  <si>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</si>
  <si>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</si>
  <si>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</si>
  <si>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</si>
  <si>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</si>
  <si>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</si>
  <si>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</si>
  <si>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</si>
  <si>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</si>
  <si>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</si>
  <si>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</si>
  <si>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</si>
  <si>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</si>
  <si>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</si>
  <si>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</si>
  <si>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</si>
  <si>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</si>
  <si>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</si>
  <si>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</si>
  <si>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</si>
  <si>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</si>
  <si>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</si>
  <si>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</si>
  <si>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</si>
  <si>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</si>
  <si>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</si>
  <si>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</si>
  <si>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</si>
  <si>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</si>
  <si>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</si>
  <si>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</si>
  <si>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</si>
  <si>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</si>
  <si>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</si>
  <si>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</si>
  <si>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</si>
  <si>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</si>
  <si>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</si>
  <si>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</si>
  <si>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</si>
  <si>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</si>
  <si>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</si>
  <si>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</si>
  <si>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</si>
  <si>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</si>
  <si>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</si>
  <si>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</si>
  <si>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</si>
  <si>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</si>
  <si>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</si>
  <si>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</si>
  <si>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</si>
  <si>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</si>
  <si>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</si>
  <si>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</si>
  <si>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</si>
  <si>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</si>
  <si>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</si>
  <si>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</si>
  <si>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</si>
  <si>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</si>
  <si>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</si>
  <si>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</si>
  <si>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</si>
  <si>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</si>
  <si>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</si>
  <si>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</si>
  <si>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</si>
  <si>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</si>
  <si>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</si>
  <si>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</si>
  <si>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</si>
  <si>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</si>
  <si>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</si>
  <si>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</si>
  <si>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</si>
  <si>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</si>
  <si>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</si>
  <si>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</si>
  <si>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</si>
  <si>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</si>
  <si>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</si>
  <si>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</si>
  <si>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</si>
  <si>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</si>
  <si>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</si>
  <si>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</si>
  <si>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</si>
  <si>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</si>
  <si>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</si>
  <si>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</si>
  <si>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</si>
  <si>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</si>
  <si>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</si>
  <si>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</si>
  <si>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</si>
  <si>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</si>
  <si>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</si>
  <si>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</si>
  <si>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</si>
  <si>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</si>
  <si>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</si>
  <si>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</si>
  <si>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</si>
  <si>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</si>
  <si>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</si>
  <si>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</si>
  <si>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</si>
  <si>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</si>
  <si>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</si>
  <si>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</si>
  <si>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</si>
  <si>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</si>
  <si>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</si>
  <si>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</si>
  <si>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</si>
  <si>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</si>
  <si>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</si>
  <si>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</si>
  <si>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</si>
  <si>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</si>
  <si>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</si>
  <si>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</si>
  <si>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</si>
  <si>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</si>
  <si>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</si>
  <si>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</si>
  <si>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</si>
  <si>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</si>
  <si>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</si>
  <si>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</si>
  <si>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</si>
  <si>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</si>
  <si>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</si>
  <si>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</si>
  <si>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</si>
  <si>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</si>
  <si>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</si>
  <si>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</si>
  <si>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</si>
  <si>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</si>
  <si>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</si>
  <si>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</si>
  <si>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</si>
  <si>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</si>
  <si>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</si>
  <si>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</si>
  <si>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</si>
  <si>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</si>
  <si>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</si>
  <si>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</si>
  <si>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</si>
  <si>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</si>
  <si>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</si>
  <si>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</si>
  <si>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</si>
  <si>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</si>
  <si>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</si>
  <si>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</si>
  <si>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</si>
  <si>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</si>
  <si>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</si>
  <si>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</si>
  <si>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</si>
  <si>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</si>
  <si>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</si>
  <si>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</si>
  <si>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</si>
  <si>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</si>
  <si>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</si>
  <si>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</si>
  <si>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</si>
  <si>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</si>
  <si>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</si>
  <si>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</si>
  <si>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</si>
  <si>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</si>
  <si>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</si>
  <si>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</si>
  <si>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</si>
  <si>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</si>
  <si>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</si>
  <si>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</si>
  <si>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</si>
  <si>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</si>
  <si>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</si>
  <si>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</si>
  <si>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</si>
  <si>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</si>
  <si>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</si>
  <si>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</si>
  <si>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</si>
  <si>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</si>
  <si>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</si>
  <si>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</si>
  <si>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</si>
  <si>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</si>
  <si>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</si>
  <si>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</si>
  <si>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</si>
  <si>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</si>
  <si>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</si>
  <si>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</si>
  <si>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</si>
  <si>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</si>
  <si>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</si>
  <si>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</si>
  <si>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</si>
  <si>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</si>
  <si>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</si>
  <si>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</si>
  <si>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</si>
  <si>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</si>
  <si>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</si>
  <si>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</si>
  <si>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</si>
  <si>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</si>
  <si>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</si>
  <si>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</si>
  <si>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</si>
  <si>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</si>
  <si>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</si>
  <si>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</si>
  <si>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</si>
  <si>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</si>
  <si>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</si>
  <si>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</si>
  <si>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</si>
  <si>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</si>
  <si>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</si>
  <si>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</si>
  <si>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</si>
  <si>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</si>
  <si>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</si>
  <si>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</si>
  <si>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</si>
  <si>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</si>
  <si>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</si>
  <si>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</si>
  <si>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</si>
  <si>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</si>
  <si>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</si>
  <si>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</si>
  <si>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</si>
  <si>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</si>
  <si>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</si>
  <si>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</si>
  <si>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</si>
  <si>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</si>
  <si>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</si>
  <si>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</si>
  <si>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</si>
  <si>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</si>
  <si>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</si>
  <si>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</si>
  <si>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</si>
  <si>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</si>
  <si>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</si>
  <si>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</si>
  <si>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</si>
  <si>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</si>
  <si>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</si>
  <si>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</si>
  <si>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</si>
  <si>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</si>
  <si>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</si>
  <si>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</si>
  <si>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</si>
  <si>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</si>
  <si>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</si>
  <si>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</si>
  <si>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</si>
  <si>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</si>
  <si>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</si>
  <si>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</si>
  <si>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</si>
  <si>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</si>
  <si>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</si>
  <si>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</si>
  <si>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</si>
  <si>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</si>
  <si>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</si>
  <si>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</si>
  <si>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</si>
  <si>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</si>
  <si>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</si>
  <si>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</si>
  <si>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</si>
  <si>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</si>
  <si>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</si>
  <si>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</si>
  <si>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</si>
  <si>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</si>
  <si>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</si>
  <si>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</si>
  <si>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</si>
  <si>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</si>
  <si>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</si>
  <si>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</si>
  <si>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</si>
  <si>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</si>
  <si>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</si>
  <si>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</si>
  <si>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</si>
  <si>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</si>
  <si>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</si>
  <si>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</si>
  <si>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</si>
  <si>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</si>
  <si>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</si>
  <si>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</si>
  <si>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</si>
  <si>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</si>
  <si>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</si>
  <si>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</si>
  <si>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</si>
  <si>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</si>
  <si>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</si>
  <si>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</si>
  <si>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</si>
  <si>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</si>
  <si>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</si>
  <si>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</si>
  <si>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</si>
  <si>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</si>
  <si>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</si>
  <si>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</si>
  <si>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</si>
  <si>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</si>
  <si>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</si>
  <si>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</si>
  <si>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</si>
  <si>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</si>
  <si>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</si>
  <si>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</si>
  <si>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</si>
  <si>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</si>
  <si>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</si>
  <si>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</si>
  <si>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</si>
  <si>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</si>
  <si>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</si>
  <si>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</si>
  <si>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</si>
  <si>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</si>
  <si>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</si>
  <si>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</si>
  <si>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</si>
  <si>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</si>
  <si>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</si>
  <si>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</si>
  <si>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</si>
  <si>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</si>
  <si>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</si>
  <si>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</si>
  <si>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</si>
  <si>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</si>
  <si>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</si>
  <si>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</si>
  <si>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</si>
  <si>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</si>
  <si>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</si>
  <si>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</si>
  <si>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</si>
  <si>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</si>
  <si>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</si>
  <si>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</si>
  <si>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</si>
  <si>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</si>
  <si>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</si>
  <si>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</si>
  <si>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</si>
  <si>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</si>
  <si>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</si>
  <si>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</si>
  <si>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</si>
  <si>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</si>
  <si>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</si>
  <si>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</si>
  <si>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</si>
  <si>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</si>
  <si>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</si>
  <si>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</si>
  <si>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</si>
  <si>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</si>
  <si>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</si>
  <si>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</si>
  <si>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</si>
  <si>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</si>
  <si>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</si>
  <si>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</si>
  <si>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</si>
  <si>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</si>
  <si>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</si>
  <si>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</si>
  <si>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</si>
  <si>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</si>
  <si>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</si>
  <si>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</si>
  <si>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</si>
  <si>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</si>
  <si>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</si>
  <si>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</si>
  <si>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</si>
  <si>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</si>
  <si>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</si>
  <si>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</si>
  <si>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</si>
  <si>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</si>
  <si>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</si>
  <si>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</si>
  <si>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</si>
  <si>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</si>
  <si>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</si>
  <si>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</si>
  <si>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</si>
  <si>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</si>
  <si>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</si>
  <si>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</si>
  <si>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</si>
  <si>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</si>
  <si>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</si>
  <si>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</si>
  <si>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</si>
  <si>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</si>
  <si>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</si>
  <si>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</si>
  <si>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</si>
  <si>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</si>
  <si>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</si>
  <si>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</si>
  <si>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</si>
  <si>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</si>
  <si>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</si>
  <si>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</si>
  <si>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</si>
  <si>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</si>
  <si>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</si>
  <si>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</si>
  <si>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</si>
  <si>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</si>
  <si>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</si>
  <si>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</si>
  <si>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</si>
  <si>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</si>
  <si>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</si>
  <si>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</si>
  <si>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</si>
  <si>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</si>
  <si>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</si>
  <si>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</si>
  <si>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</si>
  <si>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</si>
  <si>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</si>
  <si>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</si>
  <si>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</si>
  <si>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</si>
  <si>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</si>
  <si>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</si>
  <si>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</si>
  <si>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</si>
  <si>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</si>
  <si>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</si>
  <si>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</si>
  <si>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</si>
  <si>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</si>
  <si>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</si>
  <si>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</si>
  <si>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</si>
  <si>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</si>
  <si>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</si>
  <si>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</si>
  <si>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</si>
  <si>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</si>
  <si>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</si>
  <si>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</si>
  <si>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</si>
  <si>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</si>
  <si>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</si>
  <si>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</si>
  <si>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</si>
  <si>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</si>
  <si>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</si>
  <si>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</si>
  <si>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</si>
  <si>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</si>
  <si>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</si>
  <si>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</si>
  <si>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</si>
  <si>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</si>
  <si>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</si>
  <si>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</si>
  <si>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</si>
  <si>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</si>
  <si>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</si>
  <si>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</si>
  <si>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</si>
  <si>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</si>
  <si>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</si>
  <si>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</si>
  <si>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</si>
  <si>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</si>
  <si>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</si>
  <si>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</si>
  <si>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</si>
  <si>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</si>
  <si>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</si>
  <si>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</si>
  <si>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</si>
  <si>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</si>
  <si>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</si>
  <si>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</si>
  <si>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</si>
  <si>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</si>
  <si>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</si>
  <si>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</si>
  <si>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</si>
  <si>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</si>
  <si>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</si>
  <si>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</si>
  <si>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</si>
  <si>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</si>
  <si>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</si>
  <si>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</si>
  <si>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</si>
  <si>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</si>
  <si>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</si>
  <si>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</si>
  <si>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</si>
  <si>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</si>
  <si>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</si>
  <si>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</si>
  <si>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</si>
  <si>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</si>
  <si>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</si>
  <si>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</si>
  <si>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</si>
  <si>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</si>
  <si>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</si>
  <si>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</si>
  <si>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</si>
  <si>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</si>
  <si>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</si>
  <si>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</si>
  <si>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</si>
  <si>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</si>
  <si>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</si>
  <si>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</si>
  <si>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</si>
  <si>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</si>
  <si>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</si>
  <si>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</si>
  <si>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</si>
  <si>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</si>
  <si>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</si>
  <si>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</si>
  <si>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</si>
  <si>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</si>
  <si>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</si>
  <si>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</si>
  <si>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</si>
  <si>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</si>
  <si>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</si>
  <si>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</si>
  <si>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</si>
  <si>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</si>
  <si>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</si>
  <si>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</si>
  <si>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</si>
  <si>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</si>
  <si>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</si>
  <si>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</si>
  <si>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</si>
  <si>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</si>
  <si>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</si>
  <si>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</si>
  <si>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</si>
  <si>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</si>
  <si>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</si>
  <si>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</si>
  <si>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</si>
  <si>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</si>
  <si>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</si>
  <si>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</si>
  <si>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</si>
  <si>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</si>
  <si>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</si>
  <si>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</si>
  <si>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</si>
  <si>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</si>
  <si>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</si>
  <si>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</si>
  <si>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</si>
  <si>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</si>
  <si>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</si>
  <si>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</si>
  <si>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</si>
  <si>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</si>
  <si>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</si>
  <si>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</si>
  <si>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</si>
  <si>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</si>
  <si>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</si>
  <si>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</si>
  <si>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</si>
  <si>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</si>
  <si>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</si>
  <si>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</si>
  <si>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</si>
  <si>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</si>
  <si>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</si>
  <si>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</si>
  <si>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</si>
  <si>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</si>
  <si>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</si>
  <si>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</si>
  <si>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</si>
  <si>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</si>
  <si>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</si>
  <si>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</si>
  <si>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</si>
  <si>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</si>
  <si>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</si>
  <si>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</si>
  <si>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</si>
  <si>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</si>
  <si>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</si>
  <si>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</si>
  <si>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</si>
  <si>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</si>
  <si>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</si>
  <si>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</si>
  <si>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</si>
  <si>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</si>
  <si>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</si>
  <si>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</si>
  <si>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</si>
  <si>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</si>
  <si>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</si>
  <si>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</si>
  <si>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</si>
  <si>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</si>
  <si>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</si>
  <si>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</si>
  <si>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</si>
  <si>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</si>
  <si>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</si>
  <si>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</si>
  <si>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</si>
  <si>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</si>
  <si>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</si>
  <si>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</si>
  <si>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</si>
  <si>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</si>
  <si>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</si>
  <si>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</si>
  <si>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</si>
  <si>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</si>
  <si>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</si>
  <si>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</si>
  <si>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</si>
  <si>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</si>
  <si>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</si>
  <si>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</si>
  <si>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</si>
  <si>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</si>
  <si>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</si>
  <si>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</si>
  <si>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</si>
  <si>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</si>
  <si>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</si>
  <si>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</si>
  <si>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</si>
  <si>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</si>
  <si>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</si>
  <si>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</si>
  <si>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</si>
  <si>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</si>
  <si>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</si>
  <si>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</si>
  <si>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</si>
  <si>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</si>
  <si>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</si>
  <si>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</si>
  <si>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</si>
  <si>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</si>
  <si>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</si>
  <si>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</si>
  <si>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</si>
  <si>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</si>
  <si>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</si>
  <si>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</si>
  <si>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</si>
  <si>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</si>
  <si>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</si>
  <si>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</si>
  <si>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</si>
  <si>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</si>
  <si>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</si>
  <si>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</si>
  <si>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</si>
  <si>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</si>
  <si>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</si>
  <si>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</si>
  <si>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</si>
  <si>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</si>
  <si>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</si>
  <si>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</si>
  <si>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</si>
  <si>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</si>
  <si>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</si>
  <si>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</si>
  <si>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</si>
  <si>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</si>
  <si>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</si>
  <si>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</si>
  <si>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</si>
  <si>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</si>
  <si>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</si>
  <si>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</si>
  <si>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</si>
  <si>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</si>
  <si>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</si>
  <si>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</si>
  <si>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</si>
  <si>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</si>
  <si>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</si>
  <si>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</si>
  <si>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</si>
  <si>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</si>
  <si>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</si>
  <si>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</si>
  <si>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</si>
  <si>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</si>
  <si>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</si>
  <si>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</si>
  <si>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</si>
  <si>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</si>
  <si>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</si>
  <si>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</si>
  <si>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</si>
  <si>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</si>
  <si>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</si>
  <si>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</si>
  <si>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</si>
  <si>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</si>
  <si>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</si>
  <si>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</si>
  <si>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</si>
  <si>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</si>
  <si>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</si>
  <si>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</si>
  <si>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</si>
  <si>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</si>
  <si>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</si>
  <si>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</si>
  <si>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</si>
  <si>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</si>
  <si>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</si>
  <si>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</si>
  <si>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</si>
  <si>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</si>
  <si>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</si>
  <si>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</si>
  <si>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</si>
  <si>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</si>
  <si>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</si>
  <si>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</si>
  <si>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</si>
  <si>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</si>
  <si>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</si>
  <si>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</si>
  <si>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</si>
  <si>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</si>
  <si>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</si>
  <si>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</si>
  <si>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</si>
  <si>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</si>
  <si>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</si>
  <si>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</si>
  <si>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</si>
  <si>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</si>
  <si>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</si>
  <si>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</si>
  <si>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</si>
  <si>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</si>
  <si>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</si>
  <si>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</si>
  <si>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</si>
  <si>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</si>
  <si>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</si>
  <si>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</si>
  <si>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</si>
  <si>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</si>
  <si>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</si>
  <si>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</si>
  <si>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</si>
  <si>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</si>
  <si>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</si>
  <si>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</si>
  <si>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</si>
  <si>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</si>
  <si>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</si>
  <si>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</si>
  <si>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</si>
  <si>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</si>
  <si>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</si>
  <si>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</si>
  <si>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</si>
  <si>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</si>
  <si>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</si>
  <si>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</si>
  <si>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</si>
  <si>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</si>
  <si>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</si>
  <si>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</si>
  <si>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</si>
  <si>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</si>
  <si>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</si>
  <si>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</si>
  <si>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</si>
  <si>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</si>
  <si>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</si>
  <si>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</si>
  <si>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</si>
  <si>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</si>
  <si>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</si>
  <si>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</si>
  <si>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</si>
  <si>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</si>
  <si>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</si>
  <si>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</si>
  <si>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</si>
  <si>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</si>
  <si>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</si>
  <si>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</si>
  <si>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</si>
  <si>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</si>
  <si>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</si>
  <si>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</si>
  <si>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</si>
  <si>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</si>
  <si>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</si>
  <si>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</si>
  <si>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</si>
  <si>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</si>
  <si>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</si>
  <si>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</si>
  <si>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</si>
  <si>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</si>
  <si>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</si>
  <si>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</si>
  <si>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</si>
  <si>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</si>
  <si>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</si>
  <si>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</si>
  <si>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</si>
  <si>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</si>
  <si>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</si>
  <si>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</si>
  <si>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</si>
  <si>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</si>
  <si>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</si>
  <si>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</si>
  <si>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</si>
  <si>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</si>
  <si>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</si>
  <si>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</si>
  <si>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</si>
  <si>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</si>
  <si>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</si>
  <si>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</si>
  <si>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</si>
  <si>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</si>
  <si>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</si>
  <si>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</si>
  <si>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</si>
  <si>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</si>
  <si>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</si>
  <si>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</si>
  <si>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</si>
  <si>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</si>
  <si>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</si>
  <si>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</si>
  <si>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</si>
  <si>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</si>
  <si>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</si>
  <si>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</si>
  <si>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</si>
  <si>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</si>
  <si>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</si>
  <si>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</si>
  <si>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</si>
  <si>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</si>
  <si>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</si>
  <si>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</si>
  <si>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</si>
  <si>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</si>
  <si>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</si>
  <si>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</si>
  <si>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</si>
  <si>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</si>
  <si>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</si>
  <si>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</si>
  <si>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</si>
  <si>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</si>
  <si>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</si>
  <si>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</si>
  <si>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</si>
  <si>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</si>
  <si>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</si>
  <si>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</si>
  <si>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</si>
  <si>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</si>
  <si>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</si>
  <si>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</si>
  <si>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</si>
  <si>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</si>
  <si>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</si>
  <si>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</si>
  <si>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</si>
  <si>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</si>
  <si>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</si>
  <si>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</si>
  <si>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</si>
  <si>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</si>
  <si>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</si>
  <si>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</si>
  <si>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</si>
  <si>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</si>
  <si>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</si>
  <si>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</si>
  <si>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</si>
  <si>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</si>
  <si>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</si>
  <si>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</si>
  <si>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</si>
  <si>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</si>
  <si>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</si>
  <si>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</si>
  <si>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</si>
  <si>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</si>
  <si>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</si>
  <si>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</si>
  <si>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</si>
  <si>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</si>
  <si>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</si>
  <si>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</si>
  <si>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</si>
  <si>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</si>
  <si>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</si>
  <si>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</si>
  <si>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</si>
  <si>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</si>
  <si>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</si>
  <si>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</si>
  <si>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</si>
  <si>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</si>
  <si>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</si>
  <si>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</si>
  <si>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</si>
  <si>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</si>
  <si>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</si>
  <si>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</si>
  <si>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</si>
  <si>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</si>
  <si>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</si>
  <si>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</si>
  <si>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</si>
  <si>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</si>
  <si>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</si>
  <si>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</si>
  <si>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</si>
  <si>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</si>
  <si>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</si>
  <si>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</si>
  <si>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</si>
  <si>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</si>
  <si>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</si>
  <si>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</si>
  <si>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</si>
  <si>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</si>
  <si>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</si>
  <si>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</si>
  <si>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</si>
  <si>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</si>
  <si>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</si>
  <si>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</si>
  <si>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</si>
  <si>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</si>
  <si>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</si>
  <si>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</si>
  <si>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</si>
  <si>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</si>
  <si>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</si>
  <si>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</si>
  <si>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</si>
  <si>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</si>
  <si>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</si>
  <si>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</si>
  <si>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</si>
  <si>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</si>
  <si>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</si>
  <si>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</si>
  <si>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</si>
  <si>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</si>
  <si>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</si>
  <si>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</si>
  <si>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</si>
  <si>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</si>
  <si>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</si>
  <si>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</si>
  <si>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</si>
  <si>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</si>
  <si>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</si>
  <si>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</si>
  <si>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</si>
  <si>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</si>
  <si>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</si>
  <si>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</si>
  <si>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</si>
  <si>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</si>
  <si>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</si>
  <si>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</si>
  <si>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</si>
  <si>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</si>
  <si>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</si>
  <si>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</si>
  <si>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</si>
  <si>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</si>
  <si>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</si>
  <si>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</si>
  <si>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</si>
  <si>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</si>
  <si>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</si>
  <si>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</si>
  <si>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</si>
  <si>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</si>
  <si>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</si>
  <si>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</si>
  <si>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</si>
  <si>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</si>
  <si>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</si>
  <si>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</si>
  <si>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</si>
  <si>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</si>
  <si>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</si>
  <si>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</si>
  <si>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</si>
  <si>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</si>
  <si>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</si>
  <si>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</si>
  <si>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</si>
  <si>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</si>
  <si>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</si>
  <si>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</si>
  <si>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</si>
  <si>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</si>
  <si>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</si>
  <si>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</si>
  <si>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</si>
  <si>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</si>
  <si>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</si>
  <si>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</si>
  <si>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</si>
  <si>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</si>
  <si>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</si>
  <si>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</si>
  <si>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</si>
  <si>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</si>
  <si>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</si>
  <si>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</si>
  <si>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</si>
  <si>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</si>
  <si>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</si>
  <si>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</si>
  <si>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</si>
  <si>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</si>
  <si>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</si>
  <si>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</si>
  <si>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</si>
  <si>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</si>
  <si>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</si>
  <si>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</si>
  <si>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</si>
  <si>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</si>
  <si>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</si>
  <si>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</si>
  <si>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</si>
  <si>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</si>
  <si>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</si>
  <si>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</si>
  <si>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</si>
  <si>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</si>
  <si>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</si>
  <si>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</si>
  <si>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</si>
  <si>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</si>
  <si>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</si>
  <si>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</si>
  <si>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</si>
  <si>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</si>
  <si>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</si>
  <si>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</si>
  <si>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</si>
  <si>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</si>
  <si>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</si>
  <si>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</si>
  <si>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</si>
  <si>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</si>
  <si>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</si>
  <si>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</si>
  <si>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</si>
  <si>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</si>
  <si>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</si>
  <si>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</si>
  <si>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</si>
  <si>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</si>
  <si>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</si>
  <si>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</si>
  <si>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</si>
  <si>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</si>
  <si>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</si>
  <si>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</si>
  <si>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</si>
  <si>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</si>
  <si>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</si>
  <si>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</si>
  <si>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</si>
  <si>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</si>
  <si>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</si>
  <si>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</si>
  <si>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</si>
  <si>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</si>
  <si>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</si>
  <si>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</si>
  <si>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</si>
  <si>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</si>
  <si>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</si>
  <si>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</si>
  <si>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</si>
  <si>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</si>
  <si>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</si>
  <si>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</si>
  <si>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</si>
  <si>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</si>
  <si>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</si>
  <si>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</si>
  <si>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</si>
  <si>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</si>
  <si>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</si>
  <si>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</si>
  <si>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</si>
  <si>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</si>
  <si>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</si>
  <si>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</si>
  <si>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</si>
  <si>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</si>
  <si>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</si>
  <si>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</si>
  <si>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</si>
  <si>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</si>
  <si>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</si>
  <si>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</si>
  <si>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</si>
  <si>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</si>
  <si>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</si>
  <si>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</si>
  <si>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</si>
  <si>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</si>
  <si>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</si>
  <si>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</si>
  <si>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</si>
  <si>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</si>
  <si>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</si>
  <si>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</si>
  <si>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</si>
  <si>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</si>
  <si>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</si>
  <si>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</si>
  <si>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</si>
  <si>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</si>
  <si>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</si>
  <si>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</si>
  <si>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</si>
  <si>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</si>
  <si>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</si>
  <si>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</si>
  <si>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</si>
  <si>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</si>
  <si>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</si>
  <si>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</si>
  <si>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</si>
  <si>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</si>
  <si>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</si>
  <si>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</si>
  <si>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</si>
  <si>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</si>
  <si>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</si>
  <si>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</si>
  <si>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</si>
  <si>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</si>
  <si>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</si>
  <si>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</si>
  <si>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</si>
  <si>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</si>
  <si>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</si>
  <si>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</si>
  <si>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</si>
  <si>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</si>
  <si>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</si>
  <si>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</si>
  <si>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</si>
  <si>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</si>
  <si>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</si>
  <si>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</si>
  <si>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</si>
  <si>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</si>
  <si>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</si>
  <si>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</si>
  <si>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</si>
  <si>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</si>
  <si>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</si>
  <si>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</si>
  <si>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</si>
  <si>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</si>
  <si>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</si>
  <si>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</si>
  <si>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</si>
  <si>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</si>
  <si>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</si>
  <si>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</si>
  <si>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</si>
  <si>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</si>
  <si>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</si>
  <si>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</si>
  <si>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</si>
  <si>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</si>
  <si>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</si>
  <si>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</si>
  <si>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</si>
  <si>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</si>
  <si>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</si>
  <si>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</si>
  <si>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</si>
  <si>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</si>
  <si>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</si>
  <si>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</si>
  <si>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</si>
  <si>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</si>
  <si>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</si>
  <si>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</si>
  <si>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</si>
  <si>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</si>
  <si>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</si>
  <si>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</si>
  <si>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</si>
  <si>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</si>
  <si>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</si>
  <si>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</si>
  <si>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</si>
  <si>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</si>
  <si>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</si>
  <si>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</si>
  <si>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</si>
  <si>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</si>
  <si>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</si>
  <si>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</si>
  <si>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</si>
  <si>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</si>
  <si>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</si>
  <si>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</si>
  <si>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</si>
  <si>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</si>
  <si>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</si>
  <si>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</si>
  <si>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</si>
  <si>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</si>
  <si>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</si>
  <si>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</si>
  <si>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</si>
  <si>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</si>
  <si>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</si>
  <si>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</si>
  <si>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</si>
  <si>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</si>
  <si>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</si>
  <si>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</si>
  <si>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</si>
  <si>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</si>
  <si>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</si>
  <si>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</si>
  <si>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</si>
  <si>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</si>
  <si>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</si>
  <si>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</si>
  <si>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</si>
  <si>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</si>
  <si>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</si>
  <si>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</si>
  <si>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</si>
  <si>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</si>
  <si>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</si>
  <si>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</si>
  <si>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</si>
  <si>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</si>
  <si>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</si>
  <si>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</si>
  <si>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</si>
  <si>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</si>
  <si>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</si>
  <si>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</si>
  <si>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</si>
  <si>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</si>
  <si>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</si>
  <si>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</si>
  <si>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</si>
  <si>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</si>
  <si>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</si>
  <si>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</si>
  <si>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</si>
  <si>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</si>
  <si>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</si>
  <si>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</si>
  <si>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</si>
  <si>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</si>
  <si>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</si>
  <si>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</si>
  <si>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</si>
  <si>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</si>
  <si>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</si>
  <si>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</si>
  <si>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</si>
  <si>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</si>
  <si>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</si>
  <si>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</si>
  <si>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</si>
  <si>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</si>
  <si>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</si>
  <si>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</si>
  <si>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</si>
  <si>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</si>
  <si>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</si>
  <si>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</si>
  <si>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</si>
  <si>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</si>
  <si>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</si>
  <si>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</si>
  <si>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</si>
  <si>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</si>
  <si>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</si>
  <si>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</si>
  <si>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</si>
  <si>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</si>
  <si>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</si>
  <si>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</si>
  <si>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</si>
  <si>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</si>
  <si>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</si>
  <si>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</si>
  <si>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</si>
  <si>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</si>
  <si>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</si>
  <si>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</si>
  <si>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</si>
  <si>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</si>
  <si>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</si>
  <si>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</si>
  <si>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</si>
  <si>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</si>
  <si>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</si>
  <si>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</si>
  <si>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</si>
  <si>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</si>
  <si>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</si>
  <si>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</si>
  <si>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</si>
  <si>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</si>
  <si>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</si>
  <si>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</si>
  <si>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</si>
  <si>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</si>
  <si>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</si>
  <si>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</si>
  <si>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</si>
  <si>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</si>
  <si>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</si>
  <si>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</si>
  <si>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</si>
  <si>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</si>
  <si>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</si>
  <si>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</si>
  <si>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</si>
  <si>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</si>
  <si>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</si>
  <si>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</si>
  <si>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</si>
  <si>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</si>
  <si>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</si>
  <si>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</si>
  <si>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</si>
  <si>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</si>
  <si>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</si>
  <si>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</si>
  <si>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</si>
  <si>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</si>
  <si>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</si>
  <si>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</si>
  <si>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</si>
  <si>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</si>
  <si>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</si>
  <si>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</si>
  <si>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</si>
  <si>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</si>
  <si>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</si>
  <si>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</si>
  <si>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</si>
  <si>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</si>
  <si>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</si>
  <si>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</si>
  <si>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</si>
  <si>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</si>
  <si>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</si>
  <si>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</si>
  <si>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</si>
  <si>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</si>
  <si>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</si>
  <si>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</si>
  <si>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</si>
  <si>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</si>
  <si>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</si>
  <si>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</si>
  <si>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</si>
  <si>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</si>
  <si>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</si>
  <si>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</si>
  <si>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</si>
  <si>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</si>
  <si>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</si>
  <si>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</si>
  <si>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</si>
  <si>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</si>
  <si>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</si>
  <si>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</si>
  <si>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</si>
  <si>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</si>
  <si>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</si>
  <si>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</si>
  <si>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</si>
  <si>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</si>
  <si>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</si>
  <si>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</si>
  <si>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</si>
  <si>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</si>
  <si>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</si>
  <si>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</si>
  <si>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</si>
  <si>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</si>
  <si>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</si>
  <si>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</si>
  <si>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</si>
  <si>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</si>
  <si>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</si>
  <si>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</si>
  <si>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</si>
  <si>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</si>
  <si>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</si>
  <si>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</si>
  <si>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</si>
  <si>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</si>
  <si>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</si>
  <si>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</si>
  <si>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</si>
  <si>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</si>
  <si>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</si>
  <si>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</si>
  <si>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</si>
  <si>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</si>
  <si>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</si>
  <si>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</si>
  <si>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</si>
  <si>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</si>
  <si>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</si>
  <si>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</si>
  <si>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</si>
  <si>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</si>
  <si>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</si>
  <si>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</si>
  <si>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</si>
  <si>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</si>
  <si>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</si>
  <si>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</si>
  <si>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</si>
  <si>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</si>
  <si>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</si>
  <si>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</si>
  <si>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</si>
  <si>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</si>
  <si>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</si>
  <si>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</si>
  <si>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</si>
  <si>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</si>
  <si>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</si>
  <si>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</si>
  <si>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</si>
  <si>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</si>
  <si>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</si>
  <si>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</si>
  <si>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</si>
  <si>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</si>
  <si>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</si>
  <si>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</si>
  <si>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</si>
  <si>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</si>
  <si>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</si>
  <si>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</si>
  <si>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</si>
  <si>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</si>
  <si>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</si>
  <si>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</si>
  <si>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</si>
  <si>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</si>
  <si>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</si>
  <si>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</si>
  <si>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</si>
  <si>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</si>
  <si>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</si>
  <si>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</si>
  <si>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</si>
  <si>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</si>
  <si>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</si>
  <si>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</si>
  <si>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</si>
  <si>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</si>
  <si>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</si>
  <si>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</si>
  <si>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</si>
  <si>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</si>
  <si>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</si>
  <si>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</si>
  <si>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</si>
  <si>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</si>
  <si>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</si>
  <si>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</si>
  <si>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</si>
  <si>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</si>
  <si>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</si>
  <si>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</si>
  <si>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</si>
  <si>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</si>
  <si>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</si>
  <si>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</si>
  <si>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</si>
  <si>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</si>
  <si>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</si>
  <si>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</si>
  <si>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</si>
  <si>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</si>
  <si>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</si>
  <si>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</si>
  <si>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</si>
  <si>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</si>
  <si>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</si>
  <si>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</si>
  <si>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</si>
  <si>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</si>
  <si>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</si>
  <si>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</si>
  <si>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</si>
  <si>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</si>
  <si>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</si>
  <si>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</si>
  <si>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</si>
  <si>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</si>
  <si>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</si>
  <si>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</si>
  <si>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</si>
  <si>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</si>
  <si>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</si>
  <si>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</si>
  <si>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</si>
  <si>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</si>
  <si>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</si>
  <si>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</si>
  <si>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</si>
  <si>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</si>
  <si>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</si>
  <si>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</si>
  <si>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</si>
  <si>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</si>
  <si>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</si>
  <si>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</si>
  <si>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</si>
  <si>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</si>
  <si>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</si>
  <si>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</si>
  <si>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</si>
  <si>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</si>
  <si>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</si>
  <si>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</si>
  <si>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</si>
  <si>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</si>
  <si>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</si>
  <si>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</si>
  <si>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</si>
  <si>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</si>
  <si>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</si>
  <si>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</si>
  <si>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</si>
  <si>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</si>
  <si>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</si>
  <si>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</si>
  <si>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</si>
  <si>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</si>
  <si>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</si>
  <si>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</si>
  <si>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</si>
  <si>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</si>
  <si>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</si>
  <si>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</si>
  <si>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</si>
  <si>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</si>
  <si>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</si>
  <si>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</si>
  <si>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</si>
  <si>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</si>
  <si>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</si>
  <si>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</si>
  <si>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</si>
  <si>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</si>
  <si>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</si>
  <si>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</si>
  <si>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</si>
  <si>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</si>
  <si>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</si>
  <si>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</si>
  <si>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</si>
  <si>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</si>
  <si>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</si>
  <si>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</si>
  <si>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</si>
  <si>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</si>
  <si>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</si>
  <si>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</si>
  <si>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</si>
  <si>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</si>
  <si>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</si>
  <si>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</si>
  <si>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</si>
  <si>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</si>
  <si>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</si>
  <si>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</si>
  <si>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</si>
  <si>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</si>
  <si>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</si>
  <si>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</si>
  <si>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</si>
  <si>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</si>
  <si>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</si>
  <si>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</si>
  <si>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</si>
  <si>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</si>
  <si>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</si>
  <si>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</si>
  <si>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</si>
  <si>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</si>
  <si>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</si>
  <si>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</si>
  <si>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</si>
  <si>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</si>
  <si>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</si>
  <si>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</si>
  <si>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</si>
  <si>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</si>
  <si>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</si>
  <si>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</si>
  <si>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</si>
  <si>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</si>
  <si>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</si>
  <si>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</si>
  <si>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</si>
  <si>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</si>
  <si>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</si>
  <si>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</si>
  <si>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</si>
  <si>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</si>
  <si>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</si>
  <si>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</si>
  <si>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</si>
  <si>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</si>
  <si>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</si>
  <si>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</si>
  <si>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</si>
  <si>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</si>
  <si>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</si>
  <si>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</si>
  <si>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</si>
  <si>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</si>
  <si>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</si>
  <si>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</si>
  <si>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</si>
  <si>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</si>
  <si>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</si>
  <si>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</si>
  <si>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</si>
  <si>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</si>
  <si>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</si>
  <si>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</si>
  <si>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</si>
  <si>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</si>
  <si>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</si>
  <si>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</si>
  <si>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</si>
  <si>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</si>
  <si>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</si>
  <si>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</si>
  <si>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</si>
  <si>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</si>
  <si>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</si>
  <si>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</si>
  <si>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</si>
  <si>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</si>
  <si>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</si>
  <si>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</si>
  <si>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</si>
  <si>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</si>
  <si>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</si>
  <si>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</si>
  <si>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</si>
  <si>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</si>
  <si>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</si>
  <si>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</si>
  <si>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</si>
  <si>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</si>
  <si>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</si>
  <si>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</si>
  <si>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</si>
  <si>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</si>
  <si>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</si>
  <si>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</si>
  <si>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</si>
  <si>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</si>
  <si>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</si>
  <si>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</si>
  <si>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</si>
  <si>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</si>
  <si>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</si>
  <si>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</si>
  <si>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</si>
  <si>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</si>
  <si>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</si>
  <si>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</si>
  <si>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</si>
  <si>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</si>
  <si>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</si>
  <si>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</si>
  <si>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</si>
  <si>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</si>
  <si>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</si>
  <si>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</si>
  <si>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</si>
  <si>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</si>
  <si>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</si>
  <si>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</si>
  <si>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</si>
  <si>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</si>
  <si>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</si>
  <si>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</si>
  <si>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</si>
  <si>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</si>
  <si>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</si>
  <si>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</si>
  <si>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</si>
  <si>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</si>
  <si>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</si>
  <si>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</si>
  <si>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</si>
  <si>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</si>
  <si>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</si>
  <si>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</si>
  <si>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</si>
  <si>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</si>
  <si>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</si>
  <si>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</si>
  <si>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</si>
  <si>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</si>
  <si>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</si>
  <si>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</si>
  <si>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</si>
  <si>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</si>
  <si>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</si>
  <si>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</si>
  <si>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</si>
  <si>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</si>
  <si>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</si>
  <si>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</si>
  <si>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</si>
  <si>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</si>
  <si>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</si>
  <si>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</si>
  <si>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</si>
  <si>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</si>
  <si>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</si>
  <si>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</si>
  <si>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</si>
  <si>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</si>
  <si>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</si>
  <si>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</si>
  <si>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</si>
  <si>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</si>
  <si>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</si>
  <si>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</si>
  <si>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</si>
  <si>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</si>
  <si>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</si>
  <si>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</si>
  <si>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</si>
  <si>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</si>
  <si>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</si>
  <si>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</si>
  <si>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</si>
  <si>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</si>
  <si>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</si>
  <si>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</si>
  <si>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</si>
  <si>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</si>
  <si>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</si>
  <si>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</si>
  <si>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</si>
  <si>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</si>
  <si>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</si>
  <si>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</si>
  <si>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</si>
  <si>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</si>
  <si>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</si>
  <si>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</si>
  <si>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</si>
  <si>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</si>
  <si>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</si>
  <si>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</si>
  <si>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</si>
  <si>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</si>
  <si>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</si>
  <si>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</si>
  <si>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</si>
  <si>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</si>
  <si>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</si>
  <si>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</si>
  <si>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</si>
  <si>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</si>
  <si>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</si>
  <si>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</si>
  <si>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</si>
  <si>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</si>
  <si>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</si>
  <si>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</si>
  <si>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</si>
  <si>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</si>
  <si>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</si>
  <si>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</si>
  <si>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</si>
  <si>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</si>
  <si>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</si>
  <si>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</si>
  <si>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</si>
  <si>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</si>
  <si>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</si>
  <si>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</si>
  <si>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</si>
  <si>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</si>
  <si>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</si>
  <si>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</si>
  <si>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</si>
  <si>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</si>
  <si>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</si>
  <si>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</si>
  <si>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</si>
  <si>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</si>
  <si>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</si>
  <si>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</si>
  <si>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</si>
  <si>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</si>
  <si>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</si>
  <si>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</si>
  <si>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</si>
  <si>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</si>
  <si>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</si>
  <si>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</si>
  <si>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</si>
  <si>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</si>
  <si>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</si>
  <si>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</si>
  <si>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</si>
  <si>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</si>
  <si>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</si>
  <si>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</si>
  <si>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</si>
  <si>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</si>
  <si>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</si>
  <si>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</si>
  <si>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</si>
  <si>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</si>
  <si>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</si>
  <si>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</si>
  <si>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</si>
  <si>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</si>
  <si>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</si>
  <si>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</si>
  <si>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</si>
  <si>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</si>
  <si>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</si>
  <si>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</si>
  <si>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</si>
  <si>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</si>
  <si>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</si>
  <si>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</si>
  <si>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</si>
  <si>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</si>
  <si>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</si>
  <si>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</si>
  <si>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</si>
  <si>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</si>
  <si>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</si>
  <si>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</si>
  <si>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</si>
  <si>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</si>
  <si>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</si>
  <si>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</si>
  <si>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</si>
  <si>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</si>
  <si>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</si>
  <si>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</si>
  <si>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</si>
  <si>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</si>
  <si>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</si>
  <si>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</si>
  <si>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</si>
  <si>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</si>
  <si>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</si>
  <si>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</si>
  <si>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</si>
  <si>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</si>
  <si>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</si>
  <si>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</si>
  <si>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</si>
  <si>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</si>
  <si>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</si>
  <si>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</si>
  <si>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</si>
  <si>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</si>
  <si>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</si>
  <si>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</si>
  <si>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</si>
  <si>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</si>
  <si>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</si>
  <si>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</si>
  <si>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</si>
  <si>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</si>
  <si>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</si>
  <si>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</si>
  <si>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</si>
  <si>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</si>
  <si>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</si>
  <si>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</si>
  <si>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</si>
  <si>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</si>
  <si>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</si>
  <si>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</si>
  <si>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</si>
  <si>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</si>
  <si>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</si>
  <si>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</si>
  <si>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</si>
  <si>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</si>
  <si>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</si>
  <si>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</si>
  <si>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</si>
  <si>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</si>
  <si>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</si>
  <si>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</si>
  <si>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</si>
  <si>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</si>
  <si>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</si>
  <si>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</si>
  <si>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</si>
  <si>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</si>
  <si>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</si>
  <si>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</si>
  <si>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</si>
  <si>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</si>
  <si>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</si>
  <si>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</si>
  <si>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</si>
  <si>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</si>
  <si>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</si>
  <si>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</si>
  <si>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</si>
  <si>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</si>
  <si>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</si>
  <si>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</si>
  <si>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</si>
  <si>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</si>
  <si>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</si>
  <si>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</si>
  <si>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</si>
  <si>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</si>
  <si>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</si>
  <si>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</si>
  <si>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</si>
  <si>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</si>
  <si>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</si>
  <si>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</si>
  <si>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</si>
  <si>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</si>
  <si>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</si>
  <si>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</si>
  <si>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</si>
  <si>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</si>
  <si>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</si>
  <si>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</si>
  <si>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</si>
  <si>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</si>
  <si>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</si>
  <si>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</si>
  <si>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</si>
  <si>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</si>
  <si>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</si>
  <si>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</si>
  <si>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</si>
  <si>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</si>
  <si>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</si>
  <si>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</si>
  <si>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</si>
  <si>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</si>
  <si>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</si>
  <si>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</si>
  <si>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</si>
  <si>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</si>
  <si>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</si>
  <si>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</si>
  <si>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</si>
  <si>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</si>
  <si>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</si>
  <si>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</si>
  <si>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</si>
  <si>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</si>
  <si>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</si>
  <si>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</si>
  <si>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</si>
  <si>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</si>
  <si>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</si>
  <si>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</si>
  <si>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</si>
  <si>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</si>
  <si>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</si>
  <si>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</si>
  <si>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</si>
  <si>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</si>
  <si>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</si>
  <si>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</si>
  <si>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</si>
  <si>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</si>
  <si>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</si>
  <si>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</si>
  <si>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</si>
  <si>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</si>
  <si>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</si>
  <si>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</si>
  <si>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</si>
  <si>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</si>
  <si>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</si>
  <si>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</si>
  <si>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</si>
  <si>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</si>
  <si>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</si>
  <si>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</si>
  <si>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</si>
  <si>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</si>
  <si>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</si>
  <si>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</si>
  <si>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</si>
  <si>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</si>
  <si>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</si>
  <si>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</si>
  <si>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</si>
  <si>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</si>
  <si>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</si>
  <si>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</si>
  <si>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</si>
  <si>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</si>
  <si>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</si>
  <si>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</si>
  <si>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</si>
  <si>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</si>
  <si>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</si>
  <si>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</si>
  <si>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</si>
  <si>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</si>
  <si>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</si>
  <si>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</si>
  <si>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</si>
  <si>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</si>
  <si>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</si>
  <si>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</si>
  <si>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</si>
  <si>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</si>
  <si>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</si>
  <si>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</si>
  <si>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</si>
  <si>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</si>
  <si>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</si>
  <si>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</si>
  <si>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</si>
  <si>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</si>
  <si>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</si>
  <si>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</si>
  <si>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</si>
  <si>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</si>
  <si>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</si>
  <si>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</si>
  <si>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</si>
  <si>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</si>
  <si>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</si>
  <si>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</si>
  <si>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</si>
  <si>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</si>
  <si>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</si>
  <si>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</si>
  <si>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</si>
  <si>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</si>
  <si>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</si>
  <si>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</si>
  <si>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</si>
  <si>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</si>
  <si>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</si>
  <si>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</si>
  <si>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</si>
  <si>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</si>
  <si>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</si>
  <si>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</si>
  <si>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</si>
  <si>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</si>
  <si>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</si>
  <si>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</si>
  <si>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</si>
  <si>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</si>
  <si>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</si>
  <si>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</si>
  <si>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</si>
  <si>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</si>
  <si>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</si>
  <si>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</si>
  <si>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</si>
  <si>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</si>
  <si>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</si>
  <si>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</si>
  <si>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</si>
  <si>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</si>
  <si>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</si>
  <si>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</si>
  <si>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</si>
  <si>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</si>
  <si>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</si>
  <si>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</si>
  <si>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</si>
  <si>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</si>
  <si>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</si>
  <si>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</si>
  <si>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</si>
  <si>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</si>
  <si>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</si>
  <si>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</si>
  <si>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</si>
  <si>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</si>
  <si>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</si>
  <si>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</si>
  <si>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</si>
  <si>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</si>
  <si>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</si>
  <si>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</si>
  <si>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</si>
  <si>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</si>
  <si>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</si>
  <si>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</si>
  <si>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</si>
  <si>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</si>
  <si>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</si>
  <si>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</si>
  <si>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</si>
  <si>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</si>
  <si>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</si>
  <si>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</si>
  <si>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</si>
  <si>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</si>
  <si>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</si>
  <si>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</si>
  <si>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</si>
  <si>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</si>
  <si>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</si>
  <si>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</si>
  <si>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</si>
  <si>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</si>
  <si>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</si>
  <si>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</si>
  <si>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</si>
  <si>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</si>
  <si>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</si>
  <si>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</si>
  <si>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</si>
  <si>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</si>
  <si>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</si>
  <si>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</si>
  <si>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</si>
  <si>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</si>
  <si>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</si>
  <si>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</si>
  <si>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</si>
  <si>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</si>
  <si>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</si>
  <si>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</si>
  <si>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</si>
  <si>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</si>
  <si>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</si>
  <si>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</si>
  <si>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</si>
  <si>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</si>
  <si>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</si>
  <si>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</si>
  <si>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</si>
  <si>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</si>
  <si>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</si>
  <si>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</si>
  <si>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</si>
  <si>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</si>
  <si>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</si>
  <si>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</si>
  <si>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</si>
  <si>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</si>
  <si>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</si>
  <si>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</si>
  <si>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</si>
  <si>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</si>
  <si>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</si>
  <si>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</si>
  <si>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</si>
  <si>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</si>
  <si>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</si>
  <si>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</si>
  <si>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</si>
  <si>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</si>
  <si>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</si>
  <si>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</si>
  <si>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</si>
  <si>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</si>
  <si>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</si>
  <si>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</si>
  <si>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</si>
  <si>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</si>
  <si>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</si>
  <si>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</si>
  <si>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</si>
  <si>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</si>
  <si>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</si>
  <si>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</si>
  <si>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</si>
  <si>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</si>
  <si>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</si>
  <si>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</si>
  <si>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</si>
  <si>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</si>
  <si>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</si>
  <si>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</si>
  <si>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</si>
  <si>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</si>
  <si>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</si>
  <si>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</si>
  <si>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</si>
  <si>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</si>
  <si>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</si>
  <si>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</si>
  <si>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</si>
  <si>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</si>
  <si>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</si>
  <si>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</si>
  <si>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</si>
  <si>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</si>
  <si>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</si>
  <si>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</si>
  <si>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</si>
  <si>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</si>
  <si>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</si>
  <si>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</si>
  <si>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</si>
  <si>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</si>
  <si>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</si>
  <si>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</si>
  <si>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</si>
  <si>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</si>
  <si>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</si>
  <si>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</si>
  <si>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</si>
  <si>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</si>
  <si>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</si>
  <si>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</si>
  <si>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</si>
  <si>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</si>
  <si>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</si>
  <si>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</si>
  <si>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</si>
  <si>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</si>
  <si>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</si>
  <si>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</si>
  <si>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</si>
  <si>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</si>
  <si>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</si>
  <si>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</si>
  <si>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</si>
  <si>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</si>
  <si>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</si>
  <si>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</si>
  <si>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</si>
  <si>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</si>
  <si>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</si>
  <si>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</si>
  <si>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</si>
  <si>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</si>
  <si>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</si>
  <si>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</si>
  <si>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</si>
  <si>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</si>
  <si>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</si>
  <si>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</si>
  <si>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</si>
  <si>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</si>
  <si>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</si>
  <si>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</si>
  <si>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</si>
  <si>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</si>
  <si>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</si>
  <si>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</si>
  <si>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</si>
  <si>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</si>
  <si>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</si>
  <si>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</si>
  <si>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</si>
  <si>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</si>
  <si>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</si>
  <si>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</si>
  <si>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</si>
  <si>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</si>
  <si>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</si>
  <si>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</si>
  <si>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</si>
  <si>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</si>
  <si>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</si>
  <si>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</si>
  <si>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</si>
  <si>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</si>
  <si>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</si>
  <si>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</si>
  <si>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</si>
  <si>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</si>
  <si>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</si>
  <si>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</si>
  <si>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</si>
  <si>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</si>
  <si>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</si>
  <si>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</si>
  <si>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</si>
  <si>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</si>
  <si>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</si>
  <si>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</si>
  <si>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</si>
  <si>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</si>
  <si>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</si>
  <si>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</si>
  <si>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</si>
  <si>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</si>
  <si>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</si>
  <si>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</si>
  <si>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</si>
  <si>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</si>
  <si>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</si>
  <si>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</si>
  <si>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</si>
  <si>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</si>
  <si>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</si>
  <si>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</si>
  <si>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</si>
  <si>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</si>
  <si>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</si>
  <si>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</si>
  <si>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</si>
  <si>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</si>
  <si>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</si>
  <si>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</si>
  <si>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</si>
  <si>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</si>
  <si>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</si>
  <si>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</si>
  <si>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</si>
  <si>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</si>
  <si>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</si>
  <si>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</si>
  <si>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</si>
  <si>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</si>
  <si>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</si>
  <si>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</si>
  <si>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</si>
  <si>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</si>
  <si>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</si>
  <si>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</si>
  <si>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</si>
  <si>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</si>
  <si>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</si>
  <si>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</si>
  <si>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</si>
  <si>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</si>
  <si>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</si>
  <si>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</si>
  <si>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</si>
  <si>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</si>
  <si>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</si>
  <si>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</si>
  <si>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</si>
  <si>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</si>
  <si>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</si>
  <si>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</si>
  <si>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</si>
  <si>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</si>
  <si>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</si>
  <si>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</si>
  <si>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</si>
  <si>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</si>
  <si>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</si>
  <si>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</si>
  <si>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</si>
  <si>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</si>
  <si>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</si>
  <si>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</si>
  <si>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</si>
  <si>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</si>
  <si>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</si>
  <si>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</si>
  <si>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</si>
  <si>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</si>
  <si>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</si>
  <si>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</si>
  <si>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</si>
  <si>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</si>
  <si>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</si>
  <si>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</si>
  <si>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</si>
  <si>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</si>
  <si>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</si>
  <si>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</si>
  <si>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</si>
  <si>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</si>
  <si>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</si>
  <si>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</si>
  <si>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</si>
  <si>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</si>
  <si>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</si>
  <si>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</si>
  <si>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</si>
  <si>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</si>
  <si>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</si>
  <si>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</si>
  <si>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</si>
  <si>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</si>
  <si>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</si>
  <si>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</si>
  <si>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</si>
  <si>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</si>
  <si>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</si>
  <si>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</si>
  <si>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</si>
  <si>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</si>
  <si>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</si>
  <si>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</si>
  <si>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</si>
  <si>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</si>
  <si>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</si>
  <si>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</si>
  <si>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</si>
  <si>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</si>
  <si>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</si>
  <si>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</si>
  <si>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</si>
  <si>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</si>
  <si>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</si>
  <si>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</si>
  <si>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</si>
  <si>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</si>
  <si>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</si>
  <si>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</si>
  <si>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</si>
  <si>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</si>
  <si>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</si>
  <si>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</si>
  <si>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</si>
  <si>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</si>
  <si>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</si>
  <si>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</si>
  <si>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</si>
  <si>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</si>
  <si>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</si>
  <si>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</si>
  <si>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</si>
  <si>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</si>
  <si>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</si>
  <si>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</si>
  <si>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</si>
  <si>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</si>
  <si>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</si>
  <si>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</si>
  <si>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</si>
  <si>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</si>
  <si>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</si>
  <si>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</si>
  <si>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</si>
  <si>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</si>
  <si>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</si>
  <si>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</si>
  <si>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</si>
  <si>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</si>
  <si>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</si>
  <si>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</si>
  <si>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</si>
  <si>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</si>
  <si>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</si>
  <si>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</si>
  <si>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</si>
  <si>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</si>
  <si>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</si>
  <si>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</si>
  <si>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</si>
  <si>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</si>
  <si>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</si>
  <si>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</si>
  <si>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</si>
  <si>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</si>
  <si>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</si>
  <si>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</si>
  <si>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</si>
  <si>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</si>
  <si>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</si>
  <si>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</si>
  <si>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</si>
  <si>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</si>
  <si>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</si>
  <si>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</si>
  <si>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</si>
  <si>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</si>
  <si>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</si>
  <si>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</si>
  <si>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</si>
  <si>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</si>
  <si>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</si>
  <si>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</si>
  <si>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</si>
  <si>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</si>
  <si>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</si>
  <si>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</si>
  <si>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</si>
  <si>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</si>
  <si>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</si>
  <si>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</si>
  <si>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</si>
  <si>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</si>
  <si>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</si>
  <si>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</si>
  <si>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</si>
  <si>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</si>
  <si>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</si>
  <si>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</si>
  <si>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</si>
  <si>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</si>
  <si>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</si>
  <si>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</si>
  <si>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</si>
  <si>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</si>
  <si>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</si>
  <si>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</si>
  <si>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</si>
  <si>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</si>
  <si>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</si>
  <si>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</si>
  <si>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</si>
  <si>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</si>
  <si>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</si>
  <si>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</si>
  <si>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</si>
  <si>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</si>
  <si>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</si>
  <si>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</si>
  <si>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</si>
  <si>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</si>
  <si>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</si>
  <si>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</si>
  <si>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</si>
  <si>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</si>
  <si>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</si>
  <si>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</si>
  <si>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</si>
  <si>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</si>
  <si>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</si>
  <si>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</si>
  <si>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</si>
  <si>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</si>
  <si>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</si>
  <si>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</si>
  <si>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</si>
  <si>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</si>
  <si>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</si>
  <si>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</si>
  <si>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</si>
  <si>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</si>
  <si>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</si>
  <si>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</si>
  <si>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</si>
  <si>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</si>
  <si>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</si>
  <si>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</si>
  <si>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</si>
  <si>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</si>
  <si>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</si>
  <si>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</si>
  <si>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</si>
  <si>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</si>
  <si>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</si>
  <si>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</si>
  <si>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</si>
  <si>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</si>
  <si>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</si>
  <si>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</si>
  <si>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</si>
  <si>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</si>
  <si>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</si>
  <si>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</si>
  <si>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</si>
  <si>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</si>
  <si>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</si>
  <si>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</si>
  <si>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</si>
  <si>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</si>
  <si>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</si>
  <si>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</si>
  <si>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</si>
  <si>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</si>
  <si>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</si>
  <si>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</si>
  <si>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</si>
  <si>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</si>
  <si>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</si>
  <si>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</si>
  <si>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</si>
  <si>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</si>
  <si>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</si>
  <si>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</si>
  <si>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</si>
  <si>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</si>
  <si>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</si>
  <si>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</si>
  <si>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</si>
  <si>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</si>
  <si>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</si>
  <si>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</si>
  <si>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</si>
  <si>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</si>
  <si>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</si>
  <si>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</si>
  <si>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</si>
  <si>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</si>
  <si>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</si>
  <si>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</si>
  <si>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</si>
  <si>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</si>
  <si>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</si>
  <si>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</si>
  <si>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</si>
  <si>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</si>
  <si>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</si>
  <si>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</si>
  <si>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</si>
  <si>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</si>
  <si>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</si>
  <si>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</si>
  <si>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</si>
  <si>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</si>
  <si>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</si>
  <si>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</si>
  <si>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</si>
  <si>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</si>
  <si>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</si>
  <si>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</si>
  <si>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</si>
  <si>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</si>
  <si>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</si>
  <si>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</si>
  <si>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</si>
  <si>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</si>
  <si>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</si>
  <si>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</si>
  <si>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</si>
  <si>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</si>
  <si>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</si>
  <si>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</si>
  <si>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</si>
  <si>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</si>
  <si>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</si>
  <si>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</si>
  <si>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</si>
  <si>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</si>
  <si>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</si>
  <si>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</si>
  <si>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</si>
  <si>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</si>
  <si>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</si>
  <si>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</si>
  <si>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</si>
  <si>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</si>
  <si>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</si>
  <si>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</si>
  <si>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</si>
  <si>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</si>
  <si>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</si>
  <si>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</si>
  <si>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</si>
  <si>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</si>
  <si>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</si>
  <si>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</si>
  <si>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</si>
  <si>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</si>
  <si>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</si>
  <si>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</si>
  <si>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</si>
  <si>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</si>
  <si>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</si>
  <si>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</si>
  <si>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</si>
  <si>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</si>
  <si>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</si>
  <si>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</si>
  <si>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</si>
  <si>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</si>
  <si>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</si>
  <si>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</si>
  <si>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</si>
  <si>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</si>
  <si>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</si>
  <si>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</si>
  <si>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</si>
  <si>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</si>
  <si>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</si>
  <si>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</si>
  <si>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</si>
  <si>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</si>
  <si>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</si>
  <si>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</si>
  <si>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</si>
  <si>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</si>
  <si>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</si>
  <si>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</si>
  <si>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</si>
  <si>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</si>
  <si>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</si>
  <si>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</si>
  <si>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</si>
  <si>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</si>
  <si>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</si>
  <si>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</si>
  <si>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</si>
  <si>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</si>
  <si>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</si>
  <si>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</si>
  <si>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</si>
  <si>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</si>
  <si>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</si>
  <si>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</si>
  <si>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</si>
  <si>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</si>
  <si>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</si>
  <si>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</si>
  <si>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</si>
  <si>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</si>
  <si>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</si>
  <si>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</si>
  <si>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</si>
  <si>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</si>
  <si>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</si>
  <si>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</si>
  <si>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</si>
  <si>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</si>
  <si>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</si>
  <si>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</si>
  <si>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</si>
  <si>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</si>
  <si>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</si>
  <si>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</si>
  <si>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</si>
  <si>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</si>
  <si>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</si>
  <si>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</si>
  <si>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</si>
  <si>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</si>
  <si>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</si>
  <si>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</si>
  <si>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</si>
  <si>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</si>
  <si>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</si>
  <si>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</si>
  <si>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</si>
  <si>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</si>
  <si>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</si>
  <si>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</si>
  <si>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</si>
  <si>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</si>
  <si>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</si>
  <si>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</si>
  <si>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</si>
  <si>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</si>
  <si>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</si>
  <si>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</si>
  <si>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</si>
  <si>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</si>
  <si>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</si>
  <si>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</si>
  <si>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</si>
  <si>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</si>
  <si>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</si>
  <si>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</si>
  <si>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</si>
  <si>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</si>
  <si>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</si>
  <si>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</si>
  <si>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</si>
  <si>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</si>
  <si>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</si>
  <si>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</si>
  <si>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</si>
  <si>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</si>
  <si>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</si>
  <si>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</si>
  <si>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</si>
  <si>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</si>
  <si>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</si>
  <si>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</si>
  <si>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</si>
  <si>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</si>
  <si>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</si>
  <si>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</si>
  <si>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</si>
  <si>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</si>
  <si>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</si>
  <si>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</si>
  <si>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</si>
  <si>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</si>
  <si>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</si>
  <si>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</si>
  <si>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</si>
  <si>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</si>
  <si>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</si>
  <si>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</si>
  <si>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</si>
  <si>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</si>
  <si>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</si>
  <si>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</si>
  <si>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</si>
  <si>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</si>
  <si>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</si>
  <si>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</si>
  <si>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</si>
  <si>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</si>
  <si>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</si>
  <si>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</si>
  <si>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</si>
  <si>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</si>
  <si>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</si>
  <si>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</si>
  <si>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</si>
  <si>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</si>
  <si>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</si>
  <si>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</si>
  <si>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</si>
  <si>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</si>
  <si>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</si>
  <si>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</si>
  <si>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</si>
  <si>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</si>
  <si>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</si>
  <si>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</si>
  <si>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</si>
  <si>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</si>
  <si>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</si>
  <si>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</si>
  <si>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</si>
  <si>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</si>
  <si>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</si>
  <si>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</si>
  <si>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</si>
  <si>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</si>
  <si>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</si>
  <si>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</si>
  <si>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</si>
  <si>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</si>
  <si>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</si>
  <si>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</si>
  <si>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</si>
  <si>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</si>
  <si>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</si>
  <si>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</si>
  <si>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</si>
  <si>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</si>
  <si>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</si>
  <si>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</si>
  <si>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</si>
  <si>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</si>
  <si>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</si>
  <si>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</si>
  <si>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</si>
  <si>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</si>
  <si>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</si>
  <si>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</si>
  <si>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</si>
  <si>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</si>
  <si>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</si>
  <si>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</si>
  <si>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</si>
  <si>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</si>
  <si>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</si>
  <si>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</si>
  <si>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</si>
  <si>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</si>
  <si>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</si>
  <si>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</si>
  <si>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</si>
  <si>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</si>
  <si>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</si>
  <si>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</si>
  <si>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</si>
  <si>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</si>
  <si>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</si>
  <si>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</si>
  <si>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</si>
  <si>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</si>
  <si>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</si>
  <si>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</si>
  <si>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</si>
  <si>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</si>
  <si>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</si>
  <si>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</si>
  <si>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</si>
  <si>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</si>
  <si>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</si>
  <si>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</si>
  <si>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</si>
  <si>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</si>
  <si>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</si>
  <si>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</si>
  <si>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</si>
  <si>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</si>
  <si>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</si>
  <si>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</si>
  <si>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</si>
  <si>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</si>
  <si>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</si>
  <si>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</si>
  <si>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</si>
  <si>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</si>
  <si>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</si>
  <si>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</si>
  <si>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</si>
  <si>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</si>
  <si>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</si>
  <si>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</si>
  <si>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</si>
  <si>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</si>
  <si>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</si>
  <si>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</si>
  <si>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</si>
  <si>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</si>
  <si>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</si>
  <si>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</si>
  <si>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</si>
  <si>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</si>
  <si>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</si>
  <si>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</si>
  <si>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</si>
  <si>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</si>
  <si>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</si>
  <si>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</si>
  <si>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</si>
  <si>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</si>
  <si>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</si>
  <si>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</si>
  <si>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</si>
  <si>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</si>
  <si>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</si>
  <si>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</si>
  <si>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</si>
  <si>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</si>
  <si>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</si>
  <si>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</si>
  <si>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</si>
  <si>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</si>
  <si>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</si>
  <si>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</si>
  <si>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</si>
  <si>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</si>
  <si>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</si>
  <si>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</si>
  <si>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</si>
  <si>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</si>
  <si>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</si>
  <si>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</si>
  <si>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</si>
  <si>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</si>
  <si>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</si>
  <si>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</si>
  <si>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</si>
  <si>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</si>
  <si>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</si>
  <si>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</si>
  <si>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</si>
  <si>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</si>
  <si>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</si>
  <si>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</si>
  <si>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</si>
  <si>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</si>
  <si>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</si>
  <si>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</si>
  <si>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</si>
  <si>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</si>
  <si>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</si>
  <si>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</si>
  <si>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</si>
  <si>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</si>
  <si>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</si>
  <si>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</si>
  <si>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</si>
  <si>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</si>
  <si>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</si>
  <si>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</si>
  <si>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</si>
  <si>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</si>
  <si>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</si>
  <si>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</si>
  <si>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</si>
  <si>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</si>
  <si>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</si>
  <si>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</si>
  <si>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</si>
  <si>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</si>
  <si>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</si>
  <si>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</si>
  <si>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</si>
  <si>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</si>
  <si>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</si>
  <si>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</si>
  <si>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</si>
  <si>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</si>
  <si>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</si>
  <si>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</si>
  <si>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</si>
  <si>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</si>
  <si>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</si>
  <si>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</si>
  <si>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</si>
  <si>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</si>
  <si>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</si>
  <si>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</si>
  <si>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</si>
  <si>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</si>
  <si>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</si>
  <si>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</si>
  <si>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</si>
  <si>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</si>
  <si>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</si>
  <si>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</si>
  <si>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</si>
  <si>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</si>
  <si>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</si>
  <si>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</si>
  <si>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</si>
  <si>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</si>
  <si>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</si>
  <si>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</si>
  <si>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</si>
  <si>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</si>
  <si>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</si>
  <si>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</si>
  <si>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</si>
  <si>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</si>
  <si>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</si>
  <si>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</si>
  <si>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</si>
  <si>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</si>
  <si>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</si>
  <si>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</si>
  <si>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</si>
  <si>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</si>
  <si>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</si>
  <si>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</si>
  <si>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</si>
  <si>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</si>
  <si>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</si>
  <si>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</si>
  <si>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</si>
  <si>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</si>
  <si>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</si>
  <si>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</si>
  <si>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</si>
  <si>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</si>
  <si>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</si>
  <si>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</si>
  <si>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</si>
  <si>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</si>
  <si>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</si>
  <si>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</si>
  <si>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</si>
  <si>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</si>
  <si>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</si>
  <si>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</si>
  <si>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</si>
  <si>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</si>
  <si>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</si>
  <si>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</si>
  <si>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</si>
  <si>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</si>
  <si>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</si>
  <si>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</si>
  <si>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</si>
  <si>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</si>
  <si>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</si>
  <si>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</si>
  <si>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</si>
  <si>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</si>
  <si>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</si>
  <si>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</si>
  <si>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</si>
  <si>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</si>
  <si>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</si>
  <si>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</si>
  <si>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</si>
  <si>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</si>
  <si>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</si>
  <si>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</si>
  <si>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</si>
  <si>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</si>
  <si>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</si>
  <si>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</si>
  <si>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</si>
  <si>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</si>
  <si>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</si>
  <si>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</si>
  <si>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</si>
  <si>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</si>
  <si>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</si>
  <si>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</si>
  <si>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</si>
  <si>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</si>
  <si>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</si>
  <si>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</si>
  <si>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</si>
  <si>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</si>
  <si>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</si>
  <si>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</si>
  <si>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</si>
  <si>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</si>
  <si>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</si>
  <si>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</si>
  <si>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</si>
  <si>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</si>
  <si>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</si>
  <si>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</si>
  <si>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</si>
  <si>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</si>
  <si>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</si>
  <si>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</si>
  <si>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</si>
  <si>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</si>
  <si>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</si>
  <si>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</si>
  <si>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</si>
  <si>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</si>
  <si>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</si>
  <si>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</si>
  <si>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</si>
  <si>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</si>
  <si>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</si>
  <si>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</si>
  <si>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</si>
  <si>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</si>
  <si>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</si>
  <si>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</si>
  <si>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</si>
  <si>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</si>
  <si>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</si>
  <si>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</si>
  <si>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</si>
  <si>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</si>
  <si>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</si>
  <si>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</si>
  <si>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</si>
  <si>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</si>
  <si>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</si>
  <si>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</si>
  <si>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</si>
  <si>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</si>
  <si>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</si>
  <si>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</si>
  <si>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</si>
  <si>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</si>
  <si>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</si>
  <si>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</si>
  <si>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</si>
  <si>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</si>
  <si>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</si>
  <si>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</si>
  <si>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</si>
  <si>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</si>
  <si>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</si>
  <si>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</si>
  <si>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</si>
  <si>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</si>
  <si>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</si>
  <si>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</si>
  <si>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</si>
  <si>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</si>
  <si>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</si>
  <si>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</si>
  <si>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</si>
  <si>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</si>
  <si>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</si>
  <si>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</si>
  <si>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</si>
  <si>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</si>
  <si>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</si>
  <si>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</si>
  <si>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</si>
  <si>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</si>
  <si>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</si>
  <si>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</si>
  <si>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</si>
  <si>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</si>
  <si>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</si>
  <si>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</si>
  <si>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</si>
  <si>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</si>
  <si>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</si>
  <si>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</si>
  <si>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</si>
  <si>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</si>
  <si>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</si>
  <si>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</si>
  <si>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</si>
  <si>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</si>
  <si>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</si>
  <si>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</si>
  <si>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</si>
  <si>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</si>
  <si>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</si>
  <si>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</si>
  <si>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</si>
  <si>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</si>
  <si>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</si>
  <si>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</si>
  <si>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</si>
  <si>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</si>
  <si>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</si>
  <si>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</si>
  <si>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</si>
  <si>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</si>
  <si>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</si>
  <si>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</si>
  <si>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</si>
  <si>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</si>
  <si>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</si>
  <si>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</si>
  <si>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</si>
  <si>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</si>
  <si>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</si>
  <si>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</si>
  <si>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</si>
  <si>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</si>
  <si>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</si>
  <si>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</si>
  <si>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</si>
  <si>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</si>
  <si>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</si>
  <si>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</si>
  <si>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</si>
  <si>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</si>
  <si>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</si>
  <si>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</si>
  <si>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</si>
  <si>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</si>
  <si>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</si>
  <si>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</si>
  <si>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</si>
  <si>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</si>
  <si>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</si>
  <si>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</si>
  <si>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</si>
  <si>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</si>
  <si>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</si>
  <si>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</si>
  <si>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</si>
  <si>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</si>
  <si>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</si>
  <si>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</si>
  <si>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</si>
  <si>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</si>
  <si>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</si>
  <si>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</si>
  <si>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</si>
  <si>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</si>
  <si>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</si>
  <si>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</si>
  <si>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</si>
  <si>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</si>
  <si>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</si>
  <si>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</si>
  <si>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</si>
  <si>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</si>
  <si>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</si>
  <si>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</si>
  <si>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</si>
  <si>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</si>
  <si>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</si>
  <si>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</si>
  <si>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</si>
  <si>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</si>
  <si>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</si>
  <si>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</si>
  <si>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</si>
  <si>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</si>
  <si>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</si>
  <si>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</si>
  <si>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</si>
  <si>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</si>
  <si>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</si>
  <si>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</si>
  <si>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</si>
  <si>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</si>
  <si>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</si>
  <si>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</si>
  <si>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</si>
  <si>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</si>
  <si>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</si>
  <si>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</si>
  <si>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</si>
  <si>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</si>
  <si>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</si>
  <si>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</si>
  <si>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</si>
  <si>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</si>
  <si>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</si>
  <si>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</si>
  <si>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</si>
  <si>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</si>
  <si>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</si>
  <si>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</si>
  <si>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</si>
  <si>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</si>
  <si>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</si>
  <si>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</si>
  <si>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</si>
  <si>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</si>
  <si>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</si>
  <si>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</si>
  <si>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</si>
  <si>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</si>
  <si>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</si>
  <si>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</si>
  <si>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</si>
  <si>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</si>
  <si>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</si>
  <si>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</si>
  <si>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</si>
  <si>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</si>
  <si>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</si>
  <si>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</si>
  <si>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</si>
  <si>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</si>
  <si>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</si>
  <si>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</si>
  <si>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</si>
  <si>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</si>
  <si>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</si>
  <si>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</si>
  <si>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</si>
  <si>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</si>
  <si>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</si>
  <si>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</si>
  <si>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</si>
  <si>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</si>
  <si>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</si>
  <si>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</si>
  <si>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</si>
  <si>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</si>
  <si>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</si>
  <si>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</si>
  <si>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</si>
  <si>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</si>
  <si>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</si>
  <si>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</si>
  <si>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</si>
  <si>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</si>
  <si>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</si>
  <si>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</si>
  <si>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</si>
  <si>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</si>
  <si>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</si>
  <si>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</si>
  <si>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</si>
  <si>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</si>
  <si>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</si>
  <si>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</si>
  <si>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</si>
  <si>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</si>
  <si>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</si>
  <si>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</si>
  <si>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</si>
  <si>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</si>
  <si>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</si>
  <si>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</si>
  <si>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</si>
  <si>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</si>
  <si>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</si>
  <si>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</si>
  <si>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</si>
  <si>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</si>
  <si>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</si>
  <si>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</si>
  <si>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</si>
  <si>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</si>
  <si>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</si>
  <si>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</si>
  <si>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</si>
  <si>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</si>
  <si>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</si>
  <si>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</si>
  <si>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</si>
  <si>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</si>
  <si>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</si>
  <si>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</si>
  <si>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</si>
  <si>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</si>
  <si>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</si>
  <si>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</si>
  <si>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</si>
  <si>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</si>
  <si>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</si>
  <si>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</si>
  <si>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</si>
  <si>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</si>
  <si>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</si>
  <si>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</si>
  <si>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</si>
  <si>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</si>
  <si>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</si>
  <si>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</si>
  <si>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</si>
  <si>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</si>
  <si>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</si>
  <si>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</si>
  <si>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</si>
  <si>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</si>
  <si>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</si>
  <si>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</si>
  <si>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</si>
  <si>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</si>
  <si>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</si>
  <si>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</si>
  <si>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</si>
  <si>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</si>
  <si>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</si>
  <si>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</si>
  <si>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</si>
  <si>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</si>
  <si>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</si>
  <si>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</si>
  <si>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</si>
  <si>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</si>
  <si>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</si>
  <si>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</si>
  <si>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</si>
  <si>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</si>
  <si>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</si>
  <si>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</si>
  <si>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</si>
  <si>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</si>
  <si>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</si>
  <si>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</si>
  <si>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</si>
  <si>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</si>
  <si>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</si>
  <si>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</si>
  <si>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</si>
  <si>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</si>
  <si>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</si>
  <si>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</si>
  <si>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</si>
  <si>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</si>
  <si>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</si>
  <si>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</si>
  <si>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</si>
  <si>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</si>
  <si>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</si>
  <si>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</si>
  <si>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</si>
  <si>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</si>
  <si>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</si>
  <si>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</si>
  <si>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</si>
  <si>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</si>
  <si>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</si>
  <si>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</si>
  <si>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</si>
  <si>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</si>
  <si>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</si>
  <si>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</si>
  <si>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</si>
  <si>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</si>
  <si>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</si>
  <si>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</si>
  <si>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</si>
  <si>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</si>
  <si>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</si>
  <si>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</si>
  <si>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</si>
  <si>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</si>
  <si>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</si>
  <si>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</si>
  <si>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</si>
  <si>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</si>
  <si>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</si>
  <si>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</si>
  <si>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</si>
  <si>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</si>
  <si>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</si>
  <si>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</si>
  <si>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</si>
  <si>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</si>
  <si>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</si>
  <si>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</si>
  <si>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</si>
  <si>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</si>
  <si>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</si>
  <si>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</si>
  <si>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</si>
  <si>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</si>
  <si>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</si>
  <si>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</si>
  <si>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</si>
  <si>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</si>
  <si>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</si>
  <si>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</si>
  <si>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</si>
  <si>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</si>
  <si>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</si>
  <si>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</si>
  <si>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</si>
  <si>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</si>
  <si>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</si>
  <si>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</si>
  <si>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</si>
  <si>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</si>
  <si>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</si>
  <si>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</si>
  <si>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</si>
  <si>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</si>
  <si>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</si>
  <si>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</si>
  <si>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</si>
  <si>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</si>
  <si>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</si>
  <si>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</si>
  <si>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</si>
  <si>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</si>
  <si>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</si>
  <si>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</si>
  <si>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</si>
  <si>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</si>
  <si>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</si>
  <si>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</si>
  <si>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</si>
  <si>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</si>
  <si>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</si>
  <si>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</si>
  <si>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</si>
  <si>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</si>
  <si>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</si>
  <si>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</si>
  <si>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</si>
  <si>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</si>
  <si>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</si>
  <si>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</si>
  <si>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</si>
  <si>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</si>
  <si>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</si>
  <si>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</si>
  <si>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</si>
  <si>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</si>
  <si>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</si>
  <si>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</si>
  <si>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</si>
  <si>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</si>
  <si>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</si>
  <si>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</si>
  <si>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</si>
  <si>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</si>
  <si>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</si>
  <si>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</si>
  <si>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</si>
  <si>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</si>
  <si>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</si>
  <si>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</si>
  <si>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</si>
  <si>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</si>
  <si>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</si>
  <si>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</si>
  <si>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</si>
  <si>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</si>
  <si>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</si>
  <si>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</si>
  <si>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</si>
  <si>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</si>
  <si>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</si>
  <si>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</si>
  <si>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</si>
  <si>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</si>
  <si>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</si>
  <si>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</si>
  <si>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</si>
  <si>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</si>
  <si>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</si>
  <si>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</si>
  <si>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</si>
  <si>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</si>
  <si>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</si>
  <si>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</si>
  <si>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</si>
  <si>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</si>
  <si>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</si>
  <si>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</si>
  <si>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</si>
  <si>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</si>
  <si>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</si>
  <si>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</si>
  <si>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</si>
  <si>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</si>
  <si>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</si>
  <si>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</si>
  <si>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</si>
  <si>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</si>
  <si>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</si>
  <si>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</si>
  <si>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</si>
  <si>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</si>
  <si>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</si>
  <si>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</si>
  <si>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</si>
  <si>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</si>
  <si>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</si>
  <si>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</si>
  <si>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</si>
  <si>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</si>
  <si>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</si>
  <si>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</si>
  <si>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</si>
  <si>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</si>
  <si>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</si>
  <si>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</si>
  <si>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</si>
  <si>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</si>
  <si>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</si>
  <si>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</si>
  <si>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</si>
  <si>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</si>
  <si>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</si>
  <si>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</si>
  <si>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</si>
  <si>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</si>
  <si>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</si>
  <si>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</si>
  <si>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</si>
  <si>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</si>
  <si>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</si>
  <si>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</si>
  <si>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</si>
  <si>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</si>
  <si>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</si>
  <si>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</si>
  <si>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</si>
  <si>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</si>
  <si>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</si>
  <si>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</si>
  <si>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</si>
  <si>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</si>
  <si>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</si>
  <si>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</si>
  <si>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</si>
  <si>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</si>
  <si>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</si>
  <si>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</si>
  <si>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</si>
  <si>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</si>
  <si>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</si>
  <si>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</si>
  <si>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</si>
  <si>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</si>
  <si>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</si>
  <si>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</si>
  <si>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</si>
  <si>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</si>
  <si>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</si>
  <si>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</si>
  <si>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</si>
  <si>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</si>
  <si>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</si>
  <si>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</si>
  <si>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</si>
  <si>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</si>
  <si>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</si>
  <si>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</si>
  <si>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</si>
  <si>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</si>
  <si>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</si>
  <si>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</si>
  <si>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</si>
  <si>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</si>
  <si>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</si>
  <si>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</si>
  <si>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</si>
  <si>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</si>
  <si>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</si>
  <si>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</si>
  <si>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</si>
  <si>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</si>
  <si>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</si>
  <si>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</si>
  <si>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</si>
  <si>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</si>
  <si>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</si>
  <si>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</si>
  <si>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</si>
  <si>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</si>
  <si>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</si>
  <si>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</si>
  <si>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</si>
  <si>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</si>
  <si>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</si>
  <si>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</si>
  <si>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</si>
  <si>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</si>
  <si>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</si>
  <si>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</si>
  <si>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</si>
  <si>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</si>
  <si>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</si>
  <si>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</si>
  <si>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</si>
  <si>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</si>
  <si>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</si>
  <si>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</si>
  <si>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</si>
  <si>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</si>
  <si>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</si>
  <si>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</si>
  <si>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</si>
  <si>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</si>
  <si>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</si>
  <si>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</si>
  <si>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</si>
  <si>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</si>
  <si>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</si>
  <si>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</si>
  <si>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</si>
  <si>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</si>
  <si>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</si>
  <si>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</si>
  <si>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</si>
  <si>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</si>
  <si>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</si>
  <si>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</si>
  <si>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</si>
  <si>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</si>
  <si>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</si>
  <si>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</si>
  <si>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</si>
  <si>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</si>
  <si>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</si>
  <si>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</si>
  <si>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</si>
  <si>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</si>
  <si>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</si>
  <si>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</si>
  <si>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</si>
  <si>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</si>
  <si>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</si>
  <si>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</si>
  <si>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</si>
  <si>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</si>
  <si>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</si>
  <si>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</si>
  <si>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</si>
  <si>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</si>
  <si>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</si>
  <si>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</si>
  <si>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</si>
  <si>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</si>
  <si>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</si>
  <si>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</si>
  <si>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</si>
  <si>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</si>
  <si>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</si>
  <si>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</si>
  <si>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</si>
  <si>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</si>
  <si>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</si>
  <si>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</si>
  <si>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</si>
  <si>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</si>
  <si>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</si>
  <si>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</si>
  <si>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</si>
  <si>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</si>
  <si>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</si>
  <si>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</si>
  <si>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</si>
  <si>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</si>
  <si>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</si>
  <si>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</si>
  <si>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</si>
  <si>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</si>
  <si>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</si>
  <si>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</si>
  <si>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</si>
  <si>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</si>
  <si>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</si>
  <si>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</si>
  <si>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</si>
  <si>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</si>
  <si>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</si>
  <si>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</si>
  <si>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</si>
  <si>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</si>
  <si>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</si>
  <si>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</si>
  <si>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</si>
  <si>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</si>
  <si>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</si>
  <si>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</si>
  <si>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</si>
  <si>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</si>
  <si>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</si>
  <si>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</si>
  <si>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</si>
  <si>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</si>
  <si>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</si>
  <si>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</si>
  <si>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</si>
  <si>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</si>
  <si>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</si>
  <si>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</si>
  <si>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</si>
  <si>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</si>
  <si>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</si>
  <si>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</si>
  <si>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</si>
  <si>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</si>
  <si>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</si>
  <si>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</si>
  <si>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</si>
  <si>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</si>
  <si>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</si>
  <si>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</si>
  <si>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</si>
  <si>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</si>
  <si>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</si>
  <si>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</si>
  <si>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</si>
  <si>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</si>
  <si>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</si>
  <si>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</si>
  <si>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</si>
  <si>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</si>
  <si>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</si>
  <si>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</si>
  <si>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</si>
  <si>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</si>
  <si>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</si>
  <si>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</si>
  <si>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</si>
  <si>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</si>
  <si>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</si>
  <si>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</si>
  <si>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</si>
  <si>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</si>
  <si>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</si>
  <si>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</si>
  <si>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</si>
  <si>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</si>
  <si>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</si>
  <si>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</si>
  <si>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</si>
  <si>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</si>
  <si>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</si>
  <si>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</si>
  <si>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</si>
  <si>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</si>
  <si>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</si>
  <si>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</si>
  <si>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</si>
  <si>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</si>
  <si>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</si>
  <si>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</si>
  <si>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</si>
  <si>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</si>
  <si>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</si>
  <si>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</si>
  <si>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</si>
  <si>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</si>
  <si>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</si>
  <si>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</si>
  <si>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</si>
  <si>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</si>
  <si>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</si>
  <si>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</si>
  <si>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</si>
  <si>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</si>
  <si>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</si>
  <si>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</si>
  <si>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</si>
  <si>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</si>
  <si>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</si>
  <si>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</si>
  <si>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</si>
  <si>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</si>
  <si>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</si>
  <si>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</si>
  <si>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</si>
  <si>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</si>
  <si>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</si>
  <si>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</si>
  <si>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</si>
  <si>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</si>
  <si>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</si>
  <si>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</si>
  <si>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</si>
  <si>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</si>
  <si>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</si>
  <si>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</si>
  <si>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</si>
  <si>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</si>
  <si>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</si>
  <si>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</si>
  <si>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</si>
  <si>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</si>
  <si>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</si>
  <si>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</si>
  <si>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</si>
  <si>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</si>
  <si>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</si>
  <si>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</si>
  <si>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</si>
  <si>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</si>
  <si>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</si>
  <si>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</si>
  <si>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</si>
  <si>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</si>
  <si>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</si>
  <si>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</si>
  <si>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</si>
  <si>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</si>
  <si>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</si>
  <si>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</si>
  <si>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</si>
  <si>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</si>
  <si>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</si>
  <si>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</si>
  <si>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</si>
  <si>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</si>
  <si>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</si>
  <si>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</si>
  <si>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</si>
  <si>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</si>
  <si>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</si>
  <si>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</si>
  <si>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</si>
  <si>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</si>
  <si>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</si>
  <si>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</si>
  <si>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</si>
  <si>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</si>
  <si>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</si>
  <si>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</si>
  <si>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</si>
  <si>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</si>
  <si>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</si>
  <si>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</si>
  <si>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</si>
  <si>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</si>
  <si>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</si>
  <si>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</si>
  <si>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</si>
  <si>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</si>
  <si>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</si>
  <si>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</si>
  <si>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</si>
  <si>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</si>
  <si>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</si>
  <si>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</si>
  <si>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</si>
  <si>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</si>
  <si>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</si>
  <si>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</si>
  <si>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</si>
  <si>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</si>
  <si>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</si>
  <si>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</si>
  <si>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</si>
  <si>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</si>
  <si>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</si>
  <si>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</si>
  <si>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</si>
  <si>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</si>
  <si>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</si>
  <si>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</si>
  <si>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</si>
  <si>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</si>
  <si>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</si>
  <si>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</si>
  <si>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</si>
  <si>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</si>
  <si>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</si>
  <si>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</si>
  <si>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</si>
  <si>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</si>
  <si>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</si>
  <si>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</si>
  <si>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</si>
  <si>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</si>
  <si>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</si>
  <si>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</si>
  <si>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</si>
  <si>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</si>
  <si>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</si>
  <si>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</si>
  <si>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</si>
  <si>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</si>
  <si>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</si>
  <si>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</si>
  <si>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</si>
  <si>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</si>
  <si>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</si>
  <si>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</si>
  <si>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</si>
  <si>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</si>
  <si>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</si>
  <si>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</si>
  <si>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</si>
  <si>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</si>
  <si>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</si>
  <si>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</si>
  <si>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</si>
  <si>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</si>
  <si>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</si>
  <si>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</si>
  <si>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</si>
  <si>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</si>
  <si>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</si>
  <si>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</si>
  <si>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</si>
  <si>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</si>
  <si>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</si>
  <si>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</si>
  <si>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</si>
  <si>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</si>
  <si>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</si>
  <si>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</si>
  <si>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</si>
  <si>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</si>
  <si>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</si>
  <si>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</si>
  <si>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</si>
  <si>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</si>
  <si>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</si>
  <si>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</si>
  <si>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</si>
  <si>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</si>
  <si>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</si>
  <si>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</si>
  <si>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</si>
  <si>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</si>
  <si>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</si>
  <si>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</si>
  <si>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</si>
  <si>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</si>
  <si>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</si>
  <si>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</si>
  <si>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</si>
  <si>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</si>
  <si>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</si>
  <si>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</si>
  <si>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</si>
  <si>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</si>
  <si>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</si>
  <si>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</si>
  <si>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</si>
  <si>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</si>
  <si>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</si>
  <si>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</si>
  <si>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</si>
  <si>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</si>
  <si>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</si>
  <si>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</si>
  <si>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</si>
  <si>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</si>
  <si>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</si>
  <si>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</si>
  <si>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</si>
  <si>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</si>
  <si>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</si>
  <si>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</si>
  <si>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</si>
  <si>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</si>
  <si>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</si>
  <si>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</si>
  <si>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</si>
  <si>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</si>
  <si>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</si>
  <si>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</si>
  <si>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</si>
  <si>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</si>
  <si>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</si>
  <si>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</si>
  <si>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</si>
  <si>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</si>
  <si>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</si>
  <si>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</si>
  <si>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</si>
  <si>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</si>
  <si>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</si>
  <si>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</si>
  <si>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</si>
  <si>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</si>
  <si>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</si>
  <si>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</si>
  <si>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</si>
  <si>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</si>
  <si>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</si>
  <si>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</si>
  <si>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</si>
  <si>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</si>
  <si>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</si>
  <si>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</si>
  <si>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</si>
  <si>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</si>
  <si>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</si>
  <si>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</si>
  <si>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</si>
  <si>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</si>
  <si>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</si>
  <si>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</si>
  <si>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</si>
  <si>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</si>
  <si>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</si>
  <si>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</si>
  <si>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</si>
  <si>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</si>
  <si>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</si>
  <si>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</si>
  <si>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</si>
  <si>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</si>
  <si>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</si>
  <si>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</si>
  <si>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</si>
  <si>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</si>
  <si>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</si>
  <si>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</si>
  <si>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</si>
  <si>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</si>
  <si>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</si>
  <si>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</si>
  <si>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</si>
  <si>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</si>
  <si>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</si>
  <si>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</si>
  <si>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</si>
  <si>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</si>
  <si>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</si>
  <si>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</si>
  <si>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</si>
  <si>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</si>
  <si>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</si>
  <si>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</si>
  <si>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</si>
  <si>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</si>
  <si>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</si>
  <si>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</si>
  <si>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</si>
  <si>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</si>
  <si>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</si>
  <si>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</si>
  <si>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</si>
  <si>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</si>
  <si>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</si>
  <si>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</si>
  <si>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</si>
  <si>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</si>
  <si>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</si>
  <si>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</si>
  <si>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</si>
  <si>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</si>
  <si>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</si>
  <si>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</si>
  <si>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</si>
  <si>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</si>
  <si>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</si>
  <si>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</si>
  <si>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</si>
  <si>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</si>
  <si>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</si>
  <si>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</si>
  <si>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</si>
  <si>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</si>
  <si>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</si>
  <si>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</si>
  <si>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</si>
  <si>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</si>
  <si>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</si>
  <si>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</si>
  <si>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</si>
  <si>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</si>
  <si>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</si>
  <si>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</si>
  <si>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</si>
  <si>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</si>
  <si>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</si>
  <si>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</si>
  <si>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</si>
  <si>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</si>
  <si>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</si>
  <si>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</si>
  <si>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</si>
  <si>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</si>
  <si>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</si>
  <si>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</si>
  <si>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</si>
  <si>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</si>
  <si>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</si>
  <si>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</si>
  <si>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</si>
  <si>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</si>
  <si>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</si>
  <si>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</si>
  <si>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</si>
  <si>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</si>
  <si>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</si>
  <si>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</si>
  <si>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</si>
  <si>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</si>
  <si>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</si>
  <si>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</si>
  <si>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</si>
  <si>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</si>
  <si>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</si>
  <si>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</si>
  <si>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</si>
  <si>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</si>
  <si>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</si>
  <si>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</si>
  <si>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</si>
  <si>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</si>
  <si>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</si>
  <si>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</si>
  <si>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</si>
  <si>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</si>
  <si>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</si>
  <si>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</si>
  <si>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</si>
  <si>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</si>
  <si>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</si>
  <si>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</si>
  <si>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</si>
  <si>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</si>
  <si>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</si>
  <si>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</si>
  <si>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</si>
  <si>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</si>
  <si>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</si>
  <si>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</si>
  <si>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</si>
  <si>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</si>
  <si>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</si>
  <si>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</si>
  <si>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</si>
  <si>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</si>
  <si>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</si>
  <si>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</si>
  <si>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</si>
  <si>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</si>
  <si>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</si>
  <si>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</si>
  <si>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</si>
  <si>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</si>
  <si>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</si>
  <si>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</si>
  <si>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</si>
  <si>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</si>
  <si>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</si>
  <si>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</si>
  <si>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</si>
  <si>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</si>
  <si>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</si>
  <si>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</si>
  <si>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</si>
  <si>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</si>
  <si>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</si>
  <si>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</si>
  <si>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</si>
  <si>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</si>
  <si>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</si>
  <si>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</si>
  <si>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</si>
  <si>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</si>
  <si>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</si>
  <si>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</si>
  <si>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</si>
  <si>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</si>
  <si>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</si>
  <si>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</si>
  <si>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</si>
  <si>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</si>
  <si>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</si>
  <si>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</si>
  <si>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</si>
  <si>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</si>
  <si>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</si>
  <si>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</si>
  <si>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</si>
  <si>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</si>
  <si>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</si>
  <si>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</si>
  <si>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</si>
  <si>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</si>
  <si>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</si>
  <si>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</si>
  <si>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</si>
  <si>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</si>
  <si>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</si>
  <si>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</si>
  <si>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</si>
  <si>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</si>
  <si>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</si>
  <si>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</si>
  <si>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</si>
  <si>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</si>
  <si>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</si>
  <si>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</si>
  <si>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</si>
  <si>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</si>
  <si>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</si>
  <si>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</si>
  <si>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</si>
  <si>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</si>
  <si>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</si>
  <si>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</si>
  <si>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</si>
  <si>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</si>
  <si>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</si>
  <si>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</si>
  <si>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</si>
  <si>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</si>
  <si>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</si>
  <si>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</si>
  <si>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</si>
  <si>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</si>
  <si>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</si>
  <si>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</si>
  <si>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</si>
  <si>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</si>
  <si>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</si>
  <si>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</si>
  <si>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</si>
  <si>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</si>
  <si>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</si>
  <si>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</si>
  <si>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</si>
  <si>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</si>
  <si>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</si>
  <si>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</si>
  <si>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</si>
  <si>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</si>
  <si>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</si>
  <si>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</si>
  <si>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</si>
  <si>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</si>
  <si>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</si>
  <si>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</si>
  <si>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</si>
  <si>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</si>
  <si>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</si>
  <si>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</si>
  <si>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</si>
  <si>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</si>
  <si>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</si>
  <si>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</si>
  <si>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</si>
  <si>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</si>
  <si>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</si>
  <si>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</si>
  <si>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</si>
  <si>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</si>
  <si>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</si>
  <si>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</si>
  <si>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</si>
  <si>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</si>
  <si>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</si>
  <si>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</si>
  <si>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</si>
  <si>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</si>
  <si>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</si>
  <si>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</si>
  <si>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</si>
  <si>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</si>
  <si>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</si>
  <si>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</si>
  <si>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</si>
  <si>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</si>
  <si>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</si>
  <si>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</si>
  <si>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</si>
  <si>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</si>
  <si>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</si>
  <si>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</si>
  <si>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</si>
  <si>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</si>
  <si>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</si>
  <si>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</si>
  <si>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</si>
  <si>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</si>
  <si>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</si>
  <si>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</si>
  <si>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</si>
  <si>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</si>
  <si>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</si>
  <si>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</si>
  <si>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</si>
  <si>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</si>
  <si>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</si>
  <si>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</si>
  <si>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</si>
  <si>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</si>
  <si>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</si>
  <si>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</si>
  <si>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</si>
  <si>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</si>
  <si>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</si>
  <si>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</si>
  <si>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</si>
  <si>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</si>
  <si>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</si>
  <si>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</si>
  <si>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</si>
  <si>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</si>
  <si>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</si>
  <si>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</si>
  <si>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</si>
  <si>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</si>
  <si>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</si>
  <si>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</si>
  <si>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</si>
  <si>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</si>
  <si>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</si>
  <si>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</si>
  <si>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</si>
  <si>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</si>
  <si>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</si>
  <si>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</si>
  <si>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</si>
  <si>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</si>
  <si>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</si>
  <si>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</si>
  <si>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</si>
  <si>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</si>
  <si>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</si>
  <si>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</si>
  <si>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</si>
  <si>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</si>
  <si>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</si>
  <si>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</si>
  <si>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</si>
  <si>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</si>
  <si>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</si>
  <si>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</si>
  <si>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</si>
  <si>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</si>
  <si>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</si>
  <si>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</si>
  <si>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</si>
  <si>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</si>
  <si>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</si>
  <si>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</si>
  <si>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</si>
  <si>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</si>
  <si>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</si>
  <si>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</si>
  <si>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</si>
  <si>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</si>
  <si>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</si>
  <si>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</si>
  <si>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</si>
  <si>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</si>
  <si>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</si>
  <si>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</si>
  <si>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</si>
  <si>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</si>
  <si>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</si>
  <si>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</si>
  <si>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</si>
  <si>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</si>
  <si>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</si>
  <si>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</si>
  <si>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</si>
  <si>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</si>
  <si>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</si>
  <si>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</si>
  <si>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</si>
  <si>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</si>
  <si>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</si>
  <si>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</si>
  <si>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</si>
  <si>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</si>
  <si>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</si>
  <si>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</si>
  <si>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</si>
  <si>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</si>
  <si>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</si>
  <si>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</si>
  <si>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</si>
  <si>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</si>
  <si>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</si>
  <si>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</si>
  <si>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</si>
  <si>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</si>
  <si>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</si>
  <si>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</si>
  <si>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</si>
  <si>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</si>
  <si>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</si>
  <si>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</si>
  <si>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</si>
  <si>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</si>
  <si>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</si>
  <si>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</si>
  <si>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</si>
  <si>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</si>
  <si>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</si>
  <si>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</si>
  <si>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</si>
  <si>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</si>
  <si>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</si>
  <si>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</si>
  <si>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</si>
  <si>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</si>
  <si>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</si>
  <si>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</si>
  <si>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</si>
  <si>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</si>
  <si>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</si>
  <si>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</si>
  <si>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</si>
  <si>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</si>
  <si>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</si>
  <si>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</si>
  <si>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</si>
  <si>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</si>
  <si>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</si>
  <si>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</si>
  <si>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</si>
  <si>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</si>
  <si>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</si>
  <si>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</si>
  <si>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</si>
  <si>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</si>
  <si>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</si>
  <si>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</si>
  <si>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</si>
  <si>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</si>
  <si>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</si>
  <si>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</si>
  <si>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</si>
  <si>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</si>
  <si>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</si>
  <si>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</si>
  <si>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</si>
  <si>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</si>
  <si>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</si>
  <si>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</si>
  <si>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</si>
  <si>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</si>
  <si>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</si>
  <si>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</si>
  <si>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</si>
  <si>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</si>
  <si>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</si>
  <si>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</si>
  <si>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</si>
  <si>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</si>
  <si>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</si>
  <si>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</si>
  <si>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</si>
  <si>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</si>
  <si>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</si>
  <si>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</si>
  <si>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</si>
  <si>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</si>
  <si>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</si>
  <si>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</si>
  <si>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</si>
  <si>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</si>
  <si>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</si>
  <si>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</si>
  <si>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</si>
  <si>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</si>
  <si>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</si>
  <si>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</si>
  <si>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</si>
  <si>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</si>
  <si>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</si>
  <si>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</si>
  <si>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</si>
  <si>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</si>
  <si>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</si>
  <si>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</si>
  <si>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</si>
  <si>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</si>
  <si>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</si>
  <si>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</si>
  <si>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</si>
  <si>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</si>
  <si>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</si>
  <si>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</si>
  <si>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</si>
  <si>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</si>
  <si>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</si>
  <si>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</si>
  <si>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</si>
  <si>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</si>
  <si>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</si>
  <si>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</si>
  <si>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</si>
  <si>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</si>
  <si>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</si>
  <si>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</si>
  <si>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</si>
  <si>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</si>
  <si>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</si>
  <si>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</si>
  <si>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</si>
  <si>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</si>
  <si>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</si>
  <si>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</si>
  <si>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</si>
  <si>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</si>
  <si>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</si>
  <si>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</si>
  <si>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</si>
  <si>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</si>
  <si>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</si>
  <si>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</si>
  <si>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</si>
  <si>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</si>
  <si>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</si>
  <si>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</si>
  <si>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</si>
  <si>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</si>
  <si>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</si>
  <si>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</si>
  <si>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</si>
  <si>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</si>
  <si>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</si>
  <si>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</si>
  <si>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</si>
  <si>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</si>
  <si>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</si>
  <si>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</si>
  <si>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</si>
  <si>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</si>
  <si>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</si>
  <si>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</si>
  <si>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</si>
  <si>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</si>
  <si>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</si>
  <si>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</si>
  <si>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</si>
  <si>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</si>
  <si>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</si>
  <si>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</si>
  <si>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</si>
  <si>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</si>
  <si>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</si>
  <si>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</si>
  <si>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</si>
  <si>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</si>
  <si>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</si>
  <si>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</si>
  <si>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</si>
  <si>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</si>
  <si>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</si>
  <si>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</si>
  <si>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</si>
  <si>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</si>
  <si>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</si>
  <si>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</si>
  <si>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</si>
  <si>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</si>
  <si>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</si>
  <si>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</si>
  <si>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</si>
  <si>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</si>
  <si>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</si>
  <si>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</si>
  <si>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</si>
  <si>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</si>
  <si>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</si>
  <si>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</si>
  <si>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</si>
  <si>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</si>
  <si>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</si>
  <si>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</si>
  <si>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</si>
  <si>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</si>
  <si>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</si>
  <si>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</si>
  <si>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</si>
  <si>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</si>
  <si>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</si>
  <si>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</si>
  <si>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</si>
  <si>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</si>
  <si>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</si>
  <si>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</si>
  <si>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</si>
  <si>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</si>
  <si>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</si>
  <si>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</si>
  <si>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</si>
  <si>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</si>
  <si>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</si>
  <si>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</si>
  <si>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</si>
  <si>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</si>
  <si>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</si>
  <si>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</si>
  <si>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</si>
  <si>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</si>
  <si>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</si>
  <si>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</si>
  <si>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</si>
  <si>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</si>
  <si>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</si>
  <si>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</si>
  <si>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</si>
  <si>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</si>
  <si>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</si>
  <si>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</si>
  <si>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</si>
  <si>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</si>
  <si>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</si>
  <si>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</si>
  <si>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</si>
  <si>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</si>
  <si>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</si>
  <si>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</si>
  <si>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</si>
  <si>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</si>
  <si>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</si>
  <si>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</si>
  <si>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</si>
  <si>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</si>
  <si>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</si>
  <si>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</si>
  <si>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</si>
  <si>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</si>
  <si>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</si>
  <si>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</si>
  <si>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</si>
  <si>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</si>
  <si>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</si>
  <si>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</si>
  <si>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</si>
  <si>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</si>
  <si>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</si>
  <si>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</si>
  <si>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</si>
  <si>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</si>
  <si>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</si>
  <si>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</si>
  <si>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</si>
  <si>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</si>
  <si>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</si>
  <si>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</si>
  <si>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</si>
  <si>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</si>
  <si>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</si>
  <si>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</si>
  <si>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</si>
  <si>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</si>
  <si>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</si>
  <si>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</si>
  <si>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</si>
  <si>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</si>
  <si>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</si>
  <si>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</si>
  <si>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</si>
  <si>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</si>
  <si>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</si>
  <si>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</si>
  <si>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</si>
  <si>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</si>
  <si>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</si>
  <si>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</si>
  <si>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</si>
  <si>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</si>
  <si>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</si>
  <si>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</si>
  <si>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</si>
  <si>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</si>
  <si>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</si>
  <si>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</si>
  <si>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</si>
  <si>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</si>
  <si>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</si>
  <si>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</si>
  <si>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</si>
  <si>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</si>
  <si>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</si>
  <si>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</si>
  <si>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</si>
  <si>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</si>
  <si>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</si>
  <si>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</si>
  <si>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</si>
  <si>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</si>
  <si>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</si>
  <si>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</si>
  <si>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</si>
  <si>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</si>
  <si>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</si>
  <si>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</si>
  <si>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</si>
  <si>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</si>
  <si>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</si>
  <si>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</si>
  <si>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</si>
  <si>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</si>
  <si>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</si>
  <si>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</si>
  <si>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</si>
  <si>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</si>
  <si>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</si>
  <si>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</si>
  <si>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</si>
  <si>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</si>
  <si>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</si>
  <si>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</si>
  <si>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</si>
  <si>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</si>
  <si>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</si>
  <si>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</si>
  <si>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</si>
  <si>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</si>
  <si>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</si>
  <si>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</si>
  <si>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</si>
  <si>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</si>
  <si>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</si>
  <si>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</si>
  <si>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</si>
  <si>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</si>
  <si>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</si>
  <si>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</si>
  <si>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</si>
  <si>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</si>
  <si>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</si>
  <si>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</si>
  <si>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</si>
  <si>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</si>
  <si>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</si>
  <si>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</si>
  <si>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</si>
  <si>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</si>
  <si>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</si>
  <si>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</si>
  <si>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</si>
  <si>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</si>
  <si>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</si>
  <si>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</si>
  <si>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</si>
  <si>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</si>
  <si>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</si>
  <si>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</si>
  <si>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</si>
  <si>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</si>
  <si>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</si>
  <si>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</si>
  <si>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</si>
  <si>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</si>
  <si>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</si>
  <si>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</si>
  <si>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</si>
  <si>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</si>
  <si>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</si>
  <si>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</si>
  <si>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</si>
  <si>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</si>
  <si>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</si>
  <si>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</si>
  <si>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</si>
  <si>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</si>
  <si>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</si>
  <si>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</si>
  <si>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</si>
  <si>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</si>
  <si>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</si>
  <si>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</si>
  <si>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</si>
  <si>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</si>
  <si>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</si>
  <si>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</si>
  <si>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</si>
  <si>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</si>
  <si>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</si>
  <si>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</si>
  <si>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</si>
  <si>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</si>
  <si>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</si>
  <si>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</si>
  <si>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</si>
  <si>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</si>
  <si>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</si>
  <si>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</si>
  <si>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</si>
  <si>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</si>
  <si>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</si>
  <si>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</si>
  <si>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</si>
  <si>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</si>
  <si>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</si>
  <si>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</si>
  <si>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</si>
  <si>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</si>
  <si>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</si>
  <si>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</si>
  <si>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</si>
  <si>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</si>
  <si>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</si>
  <si>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</si>
  <si>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</si>
  <si>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</si>
  <si>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</si>
  <si>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</si>
  <si>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</si>
  <si>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</si>
  <si>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</si>
  <si>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</si>
  <si>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</si>
  <si>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</si>
  <si>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</si>
  <si>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</si>
  <si>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</si>
  <si>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</si>
  <si>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</si>
  <si>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</si>
  <si>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</si>
  <si>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</si>
  <si>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</si>
  <si>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</si>
  <si>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</si>
  <si>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</si>
  <si>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</si>
  <si>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</si>
  <si>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</si>
  <si>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</si>
  <si>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</si>
  <si>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</si>
  <si>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</si>
  <si>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</si>
  <si>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</si>
  <si>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</si>
  <si>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</si>
  <si>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</si>
  <si>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</si>
  <si>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</si>
  <si>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</si>
  <si>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</si>
  <si>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</si>
  <si>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</si>
  <si>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</si>
  <si>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</si>
  <si>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</si>
  <si>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</si>
  <si>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</si>
  <si>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</si>
  <si>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</si>
  <si>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</si>
  <si>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</si>
  <si>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</si>
  <si>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</si>
  <si>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</si>
  <si>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</si>
  <si>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</si>
  <si>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</si>
  <si>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</si>
  <si>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</si>
  <si>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</si>
  <si>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</si>
  <si>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</si>
  <si>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</si>
  <si>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</si>
  <si>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</si>
  <si>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</si>
  <si>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</si>
  <si>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</si>
  <si>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</si>
  <si>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</si>
  <si>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</si>
  <si>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</si>
  <si>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</si>
  <si>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</si>
  <si>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</si>
  <si>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</si>
  <si>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</si>
  <si>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</si>
  <si>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</si>
  <si>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</si>
  <si>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</si>
  <si>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</si>
  <si>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</si>
  <si>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</si>
  <si>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</si>
  <si>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</si>
  <si>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</si>
  <si>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</si>
  <si>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</si>
  <si>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</si>
  <si>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</si>
  <si>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</si>
  <si>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</si>
  <si>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</si>
  <si>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</si>
  <si>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</si>
  <si>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</si>
  <si>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</si>
  <si>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</si>
  <si>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</si>
  <si>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</si>
  <si>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</si>
  <si>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</si>
  <si>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</si>
  <si>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</si>
  <si>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</si>
  <si>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</si>
  <si>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</si>
  <si>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</si>
  <si>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</si>
  <si>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</si>
  <si>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</si>
  <si>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</si>
  <si>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</si>
  <si>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</si>
  <si>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</si>
  <si>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</si>
  <si>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</si>
  <si>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</si>
  <si>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</si>
  <si>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</si>
  <si>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</si>
  <si>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</si>
  <si>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</si>
  <si>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</si>
  <si>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</si>
  <si>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</si>
  <si>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</si>
  <si>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</si>
  <si>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</si>
  <si>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</si>
  <si>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</si>
  <si>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</si>
  <si>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</si>
  <si>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</si>
  <si>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</si>
  <si>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</si>
  <si>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</si>
  <si>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</si>
  <si>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</si>
  <si>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</si>
  <si>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</si>
  <si>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</si>
  <si>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</si>
  <si>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</si>
  <si>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</si>
  <si>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</si>
  <si>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</si>
  <si>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</si>
  <si>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</si>
  <si>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</si>
  <si>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</si>
  <si>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</si>
  <si>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</si>
  <si>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</si>
  <si>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</si>
  <si>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</si>
  <si>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</si>
  <si>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</si>
  <si>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</si>
  <si>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</si>
  <si>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</si>
  <si>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</si>
  <si>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</si>
  <si>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</si>
  <si>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</si>
  <si>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</si>
  <si>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</si>
  <si>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</si>
  <si>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</si>
  <si>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</si>
  <si>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</si>
  <si>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</si>
  <si>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</si>
  <si>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</si>
  <si>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</si>
  <si>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</si>
  <si>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</si>
  <si>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</si>
  <si>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</si>
  <si>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</si>
  <si>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</si>
  <si>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</si>
  <si>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</si>
  <si>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</si>
  <si>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</si>
  <si>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</si>
  <si>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</si>
  <si>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</si>
  <si>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</si>
  <si>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</si>
  <si>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</si>
  <si>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</si>
  <si>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</si>
  <si>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</si>
  <si>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</si>
  <si>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</si>
  <si>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</si>
  <si>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</si>
  <si>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</si>
  <si>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</si>
  <si>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</si>
  <si>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</si>
  <si>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</si>
  <si>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</si>
  <si>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</si>
  <si>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</si>
  <si>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</si>
  <si>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</si>
  <si>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</si>
  <si>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</si>
  <si>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</si>
  <si>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</si>
  <si>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</si>
  <si>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</si>
  <si>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</si>
  <si>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</si>
  <si>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</si>
  <si>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</si>
  <si>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</si>
  <si>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</si>
  <si>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</si>
  <si>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</si>
  <si>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</si>
  <si>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</si>
  <si>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</si>
  <si>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</si>
  <si>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</si>
  <si>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</si>
  <si>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</si>
  <si>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</si>
  <si>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</si>
  <si>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</si>
  <si>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</si>
  <si>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</si>
  <si>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</si>
  <si>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</si>
  <si>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</si>
  <si>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</si>
  <si>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</si>
  <si>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</si>
  <si>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</si>
  <si>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</si>
  <si>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</si>
  <si>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</si>
  <si>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</si>
  <si>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</si>
  <si>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</si>
  <si>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</si>
  <si>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</si>
  <si>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</si>
  <si>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</si>
  <si>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</si>
  <si>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</si>
  <si>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</si>
  <si>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</si>
  <si>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</si>
  <si>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</si>
  <si>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</si>
  <si>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</si>
  <si>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</si>
  <si>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</si>
  <si>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</si>
  <si>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</si>
  <si>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</si>
  <si>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</si>
  <si>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</si>
  <si>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</si>
  <si>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</si>
  <si>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</si>
  <si>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</si>
  <si>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</si>
  <si>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</si>
  <si>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</si>
  <si>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</si>
  <si>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</si>
  <si>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</si>
  <si>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</si>
  <si>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</si>
  <si>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</si>
  <si>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</si>
  <si>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</si>
  <si>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</si>
  <si>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</si>
  <si>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</si>
  <si>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</si>
  <si>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</si>
  <si>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</si>
  <si>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</si>
  <si>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</si>
  <si>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</si>
  <si>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</si>
  <si>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</si>
  <si>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</si>
  <si>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</si>
  <si>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</si>
  <si>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</si>
  <si>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</si>
  <si>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</si>
  <si>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</si>
  <si>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</si>
  <si>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</si>
  <si>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</si>
  <si>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</si>
  <si>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</si>
  <si>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</si>
  <si>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</si>
  <si>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</si>
  <si>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</si>
  <si>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</si>
  <si>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</si>
  <si>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</si>
  <si>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</si>
  <si>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</si>
  <si>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</si>
  <si>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</si>
  <si>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</si>
  <si>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</si>
  <si>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</si>
  <si>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</si>
  <si>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</si>
  <si>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</si>
  <si>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</si>
  <si>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</si>
  <si>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</si>
  <si>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</si>
  <si>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</si>
  <si>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</si>
  <si>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</si>
  <si>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</si>
  <si>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</si>
  <si>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</si>
  <si>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</si>
  <si>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</si>
  <si>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</si>
  <si>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</si>
  <si>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</si>
  <si>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</si>
  <si>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</si>
  <si>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</si>
  <si>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</si>
  <si>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</si>
  <si>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</si>
  <si>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</si>
  <si>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</si>
  <si>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</si>
  <si>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</si>
  <si>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</si>
  <si>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</si>
  <si>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</si>
  <si>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</si>
  <si>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</si>
  <si>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</si>
  <si>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</si>
  <si>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</si>
  <si>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</si>
  <si>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</si>
  <si>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</si>
  <si>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</si>
  <si>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</si>
  <si>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</si>
  <si>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</si>
  <si>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</si>
  <si>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</si>
  <si>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</si>
  <si>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</si>
  <si>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</si>
  <si>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</si>
  <si>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</si>
  <si>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</si>
  <si>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</si>
  <si>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</si>
  <si>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</si>
  <si>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</si>
  <si>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</si>
  <si>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</si>
  <si>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</si>
  <si>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</si>
  <si>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</si>
  <si>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</si>
  <si>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</si>
  <si>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</si>
  <si>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</si>
  <si>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</si>
  <si>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</si>
  <si>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</si>
  <si>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</si>
  <si>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</si>
  <si>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</si>
  <si>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</si>
  <si>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</si>
  <si>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</si>
  <si>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</si>
  <si>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</si>
  <si>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</si>
  <si>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</si>
  <si>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</si>
  <si>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</si>
  <si>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</si>
  <si>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</si>
  <si>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</si>
  <si>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</si>
  <si>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</si>
  <si>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</si>
  <si>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</si>
  <si>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</si>
  <si>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</si>
  <si>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</si>
  <si>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</si>
  <si>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</si>
  <si>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</si>
  <si>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</si>
  <si>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</si>
  <si>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</si>
  <si>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</si>
  <si>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</si>
  <si>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</si>
  <si>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</si>
  <si>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</si>
  <si>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</si>
  <si>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</si>
  <si>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</si>
  <si>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</si>
  <si>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</si>
  <si>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</si>
  <si>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</si>
  <si>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</si>
  <si>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</si>
  <si>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</si>
  <si>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</si>
  <si>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</si>
  <si>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</si>
  <si>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</si>
  <si>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</si>
  <si>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</si>
  <si>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</si>
  <si>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</si>
  <si>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</si>
  <si>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</si>
  <si>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</si>
  <si>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</si>
  <si>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</si>
  <si>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</si>
  <si>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</si>
  <si>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</si>
  <si>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</si>
  <si>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</si>
  <si>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</si>
  <si>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</si>
  <si>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</si>
  <si>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</si>
  <si>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</si>
  <si>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</si>
  <si>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</si>
  <si>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</si>
  <si>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</si>
  <si>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</si>
  <si>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</si>
  <si>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</si>
  <si>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</si>
  <si>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</si>
  <si>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</si>
  <si>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</si>
  <si>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</si>
  <si>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</si>
  <si>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</si>
  <si>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</si>
  <si>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</si>
  <si>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</si>
  <si>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</si>
  <si>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</si>
  <si>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</si>
  <si>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</si>
  <si>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</si>
  <si>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</si>
  <si>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</si>
  <si>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</si>
  <si>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</si>
  <si>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</si>
  <si>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</si>
  <si>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</si>
  <si>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</si>
  <si>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</si>
  <si>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</si>
  <si>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</si>
  <si>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</si>
  <si>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</si>
  <si>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</si>
  <si>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</si>
  <si>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</si>
  <si>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</si>
  <si>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</si>
  <si>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</si>
  <si>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</si>
  <si>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</si>
  <si>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</si>
  <si>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</si>
  <si>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</si>
  <si>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</si>
  <si>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</si>
  <si>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</si>
  <si>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</si>
  <si>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</si>
  <si>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</si>
  <si>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</si>
  <si>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</si>
  <si>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</si>
  <si>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</si>
  <si>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</si>
  <si>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</si>
  <si>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</si>
  <si>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</si>
  <si>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</si>
  <si>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</si>
  <si>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</si>
  <si>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</si>
  <si>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</si>
  <si>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</si>
  <si>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</si>
  <si>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</si>
  <si>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</si>
  <si>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</si>
  <si>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</si>
  <si>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</si>
  <si>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</si>
  <si>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</si>
  <si>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</si>
  <si>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</si>
  <si>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</si>
  <si>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</si>
  <si>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</si>
  <si>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</si>
  <si>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</si>
  <si>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</si>
  <si>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</si>
  <si>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</si>
  <si>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</si>
  <si>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</si>
  <si>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</si>
  <si>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</si>
  <si>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</si>
  <si>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</si>
  <si>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</si>
  <si>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</si>
  <si>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</si>
  <si>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</si>
  <si>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</si>
  <si>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</si>
  <si>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</si>
  <si>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</si>
  <si>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</si>
  <si>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</si>
  <si>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</si>
  <si>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</si>
  <si>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</si>
  <si>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</si>
  <si>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</si>
  <si>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</si>
  <si>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</si>
  <si>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</si>
  <si>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</si>
  <si>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</si>
  <si>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</si>
  <si>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</si>
  <si>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</si>
  <si>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</si>
  <si>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</si>
  <si>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</si>
  <si>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</si>
  <si>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</si>
  <si>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</si>
  <si>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</si>
  <si>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</si>
  <si>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</si>
  <si>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</si>
  <si>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</si>
  <si>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</si>
  <si>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</si>
  <si>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</si>
  <si>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</si>
  <si>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</si>
  <si>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</si>
  <si>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</si>
  <si>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</si>
  <si>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</si>
  <si>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</si>
  <si>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</si>
  <si>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</si>
  <si>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</si>
  <si>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</si>
  <si>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</si>
  <si>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</si>
  <si>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</si>
  <si>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</si>
  <si>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</si>
  <si>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</si>
  <si>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</si>
  <si>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</si>
  <si>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</si>
  <si>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</si>
  <si>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</si>
  <si>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</si>
  <si>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</si>
  <si>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</si>
  <si>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</si>
  <si>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</si>
  <si>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</si>
  <si>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</si>
  <si>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</si>
  <si>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</si>
  <si>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</si>
  <si>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</si>
  <si>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</si>
  <si>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</si>
  <si>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</si>
  <si>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</si>
  <si>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</si>
  <si>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</si>
  <si>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</si>
  <si>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</si>
  <si>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</si>
  <si>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</si>
  <si>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</si>
  <si>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</si>
  <si>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</si>
  <si>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</si>
  <si>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</si>
  <si>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</si>
  <si>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</si>
  <si>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</si>
  <si>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</si>
  <si>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</si>
  <si>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</si>
  <si>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</si>
  <si>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</si>
  <si>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</si>
  <si>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</si>
  <si>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</si>
  <si>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</si>
  <si>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</si>
  <si>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</si>
  <si>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</si>
  <si>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</si>
  <si>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</si>
  <si>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</si>
  <si>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</si>
  <si>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</si>
  <si>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</si>
  <si>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</si>
  <si>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</si>
  <si>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</si>
  <si>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</si>
  <si>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</si>
  <si>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</si>
  <si>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</si>
  <si>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</si>
  <si>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</si>
  <si>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</si>
  <si>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</si>
  <si>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</si>
  <si>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</si>
  <si>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</si>
  <si>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</si>
  <si>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</si>
  <si>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</si>
  <si>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</si>
  <si>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</si>
  <si>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</si>
  <si>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</si>
  <si>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</si>
  <si>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</si>
  <si>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</si>
  <si>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</si>
  <si>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</si>
  <si>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</si>
  <si>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</si>
  <si>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</si>
  <si>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</si>
  <si>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</si>
  <si>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</si>
  <si>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</si>
  <si>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</si>
  <si>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</si>
  <si>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</si>
  <si>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</si>
  <si>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</si>
  <si>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</si>
  <si>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</si>
  <si>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</si>
  <si>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</si>
  <si>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</si>
  <si>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</si>
  <si>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</si>
  <si>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</si>
  <si>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</si>
  <si>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</si>
  <si>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</si>
  <si>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</si>
  <si>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</si>
  <si>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</si>
  <si>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</si>
  <si>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</si>
  <si>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</si>
  <si>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</si>
  <si>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</si>
  <si>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</si>
  <si>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</si>
  <si>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</si>
  <si>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</si>
  <si>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</si>
  <si>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</si>
  <si>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</si>
  <si>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</si>
  <si>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</si>
  <si>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</si>
  <si>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</si>
  <si>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</si>
  <si>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</si>
  <si>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</si>
  <si>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</si>
  <si>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</si>
  <si>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</si>
  <si>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</si>
  <si>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</si>
  <si>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</si>
  <si>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</si>
  <si>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</si>
  <si>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</si>
  <si>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</si>
  <si>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</si>
  <si>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</si>
  <si>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</si>
  <si>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</si>
  <si>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</si>
  <si>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</si>
  <si>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</si>
  <si>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</si>
  <si>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</si>
  <si>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</si>
  <si>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</si>
  <si>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</si>
  <si>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</si>
  <si>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</si>
  <si>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</si>
  <si>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</si>
  <si>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</si>
  <si>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</si>
  <si>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</si>
  <si>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</si>
  <si>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</si>
  <si>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</si>
  <si>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</si>
  <si>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</si>
  <si>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</si>
  <si>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</si>
  <si>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</si>
  <si>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</si>
  <si>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</si>
  <si>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</si>
  <si>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</si>
  <si>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</si>
  <si>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</si>
  <si>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</si>
  <si>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</si>
  <si>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</si>
  <si>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</si>
  <si>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</si>
  <si>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</si>
  <si>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</si>
  <si>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</si>
  <si>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</si>
  <si>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</si>
  <si>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</si>
  <si>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</si>
  <si>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</si>
  <si>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</si>
  <si>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</si>
  <si>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</si>
  <si>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</si>
  <si>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</si>
  <si>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</si>
  <si>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</si>
  <si>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</si>
  <si>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</si>
  <si>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</si>
  <si>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</si>
  <si>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</si>
  <si>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</si>
  <si>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</si>
  <si>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</si>
  <si>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</si>
  <si>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</si>
  <si>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</si>
  <si>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</si>
  <si>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</si>
  <si>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</si>
  <si>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</si>
  <si>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</si>
  <si>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</si>
  <si>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</si>
  <si>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</si>
  <si>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</si>
  <si>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</si>
  <si>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</si>
  <si>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</si>
  <si>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</si>
  <si>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</si>
  <si>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</si>
  <si>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</si>
  <si>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</si>
  <si>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</si>
  <si>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</si>
  <si>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</si>
  <si>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</si>
  <si>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</si>
  <si>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</si>
  <si>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</si>
  <si>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</si>
  <si>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</si>
  <si>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</si>
  <si>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</si>
  <si>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</si>
  <si>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</si>
  <si>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</si>
  <si>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</si>
  <si>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</si>
  <si>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</si>
  <si>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</si>
  <si>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</si>
  <si>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</si>
  <si>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</si>
  <si>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</si>
  <si>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</si>
  <si>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</si>
  <si>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</si>
  <si>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</si>
  <si>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</si>
  <si>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</si>
  <si>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</si>
  <si>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</si>
  <si>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</si>
  <si>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</si>
  <si>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</si>
  <si>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</si>
  <si>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</si>
  <si>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</si>
  <si>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</si>
  <si>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</si>
  <si>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</si>
  <si>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</si>
  <si>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</si>
  <si>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</si>
  <si>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</si>
  <si>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</si>
  <si>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</si>
  <si>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</si>
  <si>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</si>
  <si>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</si>
  <si>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</si>
  <si>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</si>
  <si>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</si>
  <si>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</si>
  <si>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</si>
  <si>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</si>
  <si>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</si>
  <si>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</si>
  <si>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</si>
  <si>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</si>
  <si>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</si>
  <si>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</si>
  <si>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</si>
  <si>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</si>
  <si>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</si>
  <si>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</si>
  <si>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</si>
  <si>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</si>
  <si>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</si>
  <si>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</si>
  <si>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</si>
  <si>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</si>
  <si>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</si>
  <si>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</si>
  <si>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</si>
  <si>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</si>
  <si>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</si>
  <si>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</si>
  <si>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</si>
  <si>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</si>
  <si>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</si>
  <si>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</si>
  <si>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</si>
  <si>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</si>
  <si>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</si>
  <si>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</si>
  <si>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</si>
  <si>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</si>
  <si>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</si>
  <si>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</si>
  <si>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</si>
  <si>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</si>
  <si>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</si>
  <si>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</si>
  <si>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</si>
  <si>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</si>
  <si>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</si>
  <si>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</si>
  <si>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</si>
  <si>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</si>
  <si>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</si>
  <si>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</si>
  <si>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</si>
  <si>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</si>
  <si>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</si>
  <si>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</si>
  <si>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</si>
  <si>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</si>
  <si>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</si>
  <si>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</si>
  <si>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</si>
  <si>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</si>
  <si>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</si>
  <si>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</si>
  <si>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</si>
  <si>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</si>
  <si>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</si>
  <si>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</si>
  <si>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</si>
  <si>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</si>
  <si>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</si>
  <si>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</si>
  <si>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</si>
  <si>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</si>
  <si>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</si>
  <si>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</si>
  <si>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</si>
  <si>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</si>
  <si>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</si>
  <si>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</si>
  <si>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</si>
  <si>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</si>
  <si>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</si>
  <si>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</si>
  <si>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</si>
  <si>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</si>
  <si>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</si>
  <si>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</si>
  <si>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</si>
  <si>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</si>
  <si>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</si>
  <si>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</si>
  <si>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</si>
  <si>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</si>
  <si>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</si>
  <si>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</si>
  <si>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</si>
  <si>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</si>
  <si>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</si>
  <si>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</si>
  <si>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</si>
  <si>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</si>
  <si>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</si>
  <si>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</si>
  <si>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</si>
  <si>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</si>
  <si>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</si>
  <si>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</si>
  <si>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</si>
  <si>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</si>
  <si>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</si>
  <si>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</si>
  <si>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</si>
  <si>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</si>
  <si>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</si>
  <si>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</si>
  <si>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</si>
  <si>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</si>
  <si>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</si>
  <si>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</si>
  <si>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</si>
  <si>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</si>
  <si>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</si>
  <si>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</si>
  <si>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</si>
  <si>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</si>
  <si>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</si>
  <si>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</si>
  <si>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</si>
  <si>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</si>
  <si>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</si>
  <si>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</si>
  <si>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</si>
  <si>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</si>
  <si>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</si>
  <si>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</si>
  <si>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</si>
  <si>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</si>
  <si>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</si>
  <si>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</si>
  <si>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</si>
  <si>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</si>
  <si>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</si>
  <si>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</si>
  <si>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</si>
  <si>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</si>
  <si>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</si>
  <si>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</si>
  <si>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</si>
  <si>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</si>
  <si>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</si>
  <si>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</si>
  <si>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</si>
  <si>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</si>
  <si>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</si>
  <si>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</si>
  <si>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</si>
  <si>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</si>
  <si>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</si>
  <si>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</si>
  <si>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</si>
  <si>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</si>
  <si>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</si>
  <si>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</si>
  <si>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</si>
  <si>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</si>
  <si>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</si>
  <si>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</si>
  <si>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</si>
  <si>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</si>
  <si>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</si>
  <si>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</si>
  <si>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</si>
  <si>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</si>
  <si>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</si>
  <si>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</si>
  <si>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</si>
  <si>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</si>
  <si>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</si>
  <si>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</si>
  <si>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</si>
  <si>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</si>
  <si>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</si>
  <si>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</si>
  <si>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</si>
  <si>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</si>
  <si>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</si>
  <si>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</si>
  <si>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</si>
  <si>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</si>
  <si>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</si>
  <si>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</si>
  <si>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</si>
  <si>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</si>
  <si>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</si>
  <si>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</si>
  <si>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</si>
  <si>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</si>
  <si>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</si>
  <si>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</si>
  <si>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</si>
  <si>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</si>
  <si>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</si>
  <si>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</si>
  <si>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</si>
  <si>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</si>
  <si>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</si>
  <si>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</si>
  <si>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</si>
  <si>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</si>
  <si>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</si>
  <si>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</si>
  <si>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</si>
  <si>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</si>
  <si>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</si>
  <si>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</si>
  <si>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</si>
  <si>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</si>
  <si>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</si>
  <si>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</si>
  <si>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</si>
  <si>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</si>
  <si>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</si>
  <si>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</si>
  <si>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</si>
  <si>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</si>
  <si>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</si>
  <si>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</si>
  <si>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</si>
  <si>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</si>
  <si>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</si>
  <si>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</si>
  <si>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</si>
  <si>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</si>
  <si>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</si>
  <si>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</si>
  <si>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</si>
  <si>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</si>
  <si>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</si>
  <si>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</si>
  <si>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</si>
  <si>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</si>
  <si>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</si>
  <si>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</si>
  <si>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</si>
  <si>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</si>
  <si>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</si>
  <si>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</si>
  <si>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</si>
  <si>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</si>
  <si>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</si>
  <si>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</si>
  <si>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</si>
  <si>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</si>
  <si>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</si>
  <si>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</si>
  <si>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</si>
  <si>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</si>
  <si>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</si>
  <si>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</si>
  <si>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</si>
  <si>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</si>
  <si>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</si>
  <si>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</si>
  <si>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</si>
  <si>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</si>
  <si>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</si>
  <si>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</si>
  <si>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</si>
  <si>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</si>
  <si>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</si>
  <si>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</si>
  <si>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</si>
  <si>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</si>
  <si>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</si>
  <si>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</si>
  <si>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</si>
  <si>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</si>
  <si>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</si>
  <si>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</si>
  <si>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</si>
  <si>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</si>
  <si>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</si>
  <si>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</si>
  <si>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</si>
  <si>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</si>
  <si>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</si>
  <si>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</si>
  <si>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</si>
  <si>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</si>
  <si>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</si>
  <si>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</si>
  <si>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</si>
  <si>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</si>
  <si>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</si>
  <si>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</si>
  <si>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</si>
  <si>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</si>
  <si>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</si>
  <si>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</si>
  <si>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</si>
  <si>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</si>
  <si>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</si>
  <si>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</si>
  <si>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</si>
  <si>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</si>
  <si>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</si>
  <si>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</si>
  <si>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</si>
  <si>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</si>
  <si>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</si>
  <si>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</si>
  <si>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</si>
  <si>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</si>
  <si>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</si>
  <si>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</si>
  <si>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</si>
  <si>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</si>
  <si>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</si>
  <si>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</si>
  <si>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</si>
  <si>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</si>
  <si>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</si>
  <si>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</si>
  <si>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</si>
  <si>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</si>
  <si>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</si>
  <si>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</si>
  <si>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</si>
  <si>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</si>
  <si>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</si>
  <si>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</si>
  <si>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</si>
  <si>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</si>
  <si>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</si>
  <si>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</si>
  <si>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</si>
  <si>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</si>
  <si>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</si>
  <si>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</si>
  <si>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</si>
  <si>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</si>
  <si>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</si>
  <si>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</si>
  <si>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</si>
  <si>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</si>
  <si>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</si>
  <si>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</si>
  <si>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</si>
  <si>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</si>
  <si>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</si>
  <si>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</si>
  <si>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</si>
  <si>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</si>
  <si>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</si>
  <si>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</si>
  <si>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</si>
  <si>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</si>
  <si>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</si>
  <si>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</si>
  <si>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</si>
  <si>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</si>
  <si>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</si>
  <si>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</si>
  <si>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</si>
  <si>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</si>
  <si>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</si>
  <si>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</si>
  <si>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</si>
  <si>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</si>
  <si>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</si>
  <si>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</si>
  <si>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</si>
  <si>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</si>
  <si>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</si>
  <si>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</si>
  <si>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</si>
  <si>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</si>
  <si>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</si>
  <si>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</si>
  <si>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</si>
  <si>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</si>
  <si>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</si>
  <si>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</si>
  <si>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</si>
  <si>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</si>
  <si>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</si>
  <si>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</si>
  <si>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</si>
  <si>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</si>
  <si>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</si>
  <si>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</si>
  <si>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</si>
  <si>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</si>
  <si>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</si>
  <si>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</si>
  <si>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</si>
  <si>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</si>
  <si>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</si>
  <si>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</si>
  <si>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</si>
  <si>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</si>
  <si>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</si>
  <si>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</si>
  <si>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</si>
  <si>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</si>
  <si>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</si>
  <si>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</si>
  <si>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</si>
  <si>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</si>
  <si>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</si>
  <si>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</si>
  <si>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</si>
  <si>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</si>
  <si>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</si>
  <si>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</si>
  <si>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</si>
  <si>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</si>
  <si>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</si>
  <si>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</si>
  <si>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</si>
  <si>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</si>
  <si>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</si>
  <si>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</si>
  <si>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</si>
  <si>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</si>
  <si>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</si>
  <si>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</si>
  <si>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</si>
  <si>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</si>
  <si>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</si>
  <si>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</si>
  <si>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</si>
  <si>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</si>
  <si>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</si>
  <si>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</si>
  <si>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</si>
  <si>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</si>
  <si>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</si>
  <si>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</si>
  <si>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</si>
  <si>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</si>
  <si>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</si>
  <si>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</si>
  <si>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</si>
  <si>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</si>
  <si>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</si>
  <si>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</si>
  <si>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</si>
  <si>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</si>
  <si>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</si>
  <si>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</si>
  <si>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</si>
  <si>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</si>
  <si>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</si>
  <si>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</si>
  <si>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</si>
  <si>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</si>
  <si>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</si>
  <si>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</si>
  <si>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</si>
  <si>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</si>
  <si>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</si>
  <si>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</si>
  <si>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</si>
  <si>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</si>
  <si>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</si>
  <si>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</si>
  <si>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</si>
  <si>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</si>
  <si>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</si>
  <si>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</si>
  <si>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</si>
  <si>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</si>
  <si>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</si>
  <si>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</si>
  <si>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</si>
  <si>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</si>
  <si>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</si>
  <si>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</si>
  <si>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</si>
  <si>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</si>
  <si>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</si>
  <si>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</si>
  <si>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</si>
  <si>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</si>
  <si>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</si>
  <si>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</si>
  <si>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</si>
  <si>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</si>
  <si>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</si>
  <si>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</si>
  <si>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</si>
  <si>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</si>
  <si>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</si>
  <si>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</si>
  <si>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</si>
  <si>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</si>
  <si>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</si>
  <si>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</si>
  <si>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</si>
  <si>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</si>
  <si>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</si>
  <si>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</si>
  <si>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</si>
  <si>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</si>
  <si>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</si>
  <si>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</si>
  <si>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</si>
  <si>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</si>
  <si>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</si>
  <si>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</si>
  <si>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</si>
  <si>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</si>
  <si>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</si>
  <si>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</si>
  <si>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</si>
  <si>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</si>
  <si>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</si>
  <si>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</si>
  <si>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</si>
  <si>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</si>
  <si>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</si>
  <si>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</si>
  <si>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</si>
  <si>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</si>
  <si>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</si>
  <si>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</si>
  <si>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</si>
  <si>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</si>
  <si>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</si>
  <si>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</si>
  <si>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</si>
  <si>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</si>
  <si>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</si>
  <si>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</si>
  <si>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</si>
  <si>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</si>
  <si>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</si>
  <si>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</si>
  <si>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</si>
  <si>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</si>
  <si>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</si>
  <si>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</si>
  <si>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</si>
  <si>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</si>
  <si>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</si>
  <si>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</si>
  <si>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</si>
  <si>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</si>
  <si>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</si>
  <si>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</si>
  <si>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</si>
  <si>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</si>
  <si>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</si>
  <si>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</si>
  <si>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</si>
  <si>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</si>
  <si>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</si>
  <si>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</si>
  <si>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</si>
  <si>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</si>
  <si>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</si>
  <si>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</si>
  <si>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</si>
  <si>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</si>
  <si>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</si>
  <si>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</si>
  <si>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</si>
  <si>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</si>
  <si>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</si>
  <si>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</si>
  <si>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</si>
  <si>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</si>
  <si>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</si>
  <si>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</si>
  <si>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</si>
  <si>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</si>
  <si>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</si>
  <si>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</si>
  <si>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</si>
  <si>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</si>
  <si>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</si>
  <si>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</si>
  <si>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</si>
  <si>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</si>
  <si>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</si>
  <si>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</si>
  <si>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</si>
  <si>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</si>
  <si>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</si>
  <si>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</si>
  <si>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</si>
  <si>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</si>
  <si>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</si>
  <si>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</si>
  <si>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</si>
  <si>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</si>
  <si>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</si>
  <si>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</si>
  <si>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</si>
  <si>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</si>
  <si>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</si>
  <si>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</si>
  <si>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</si>
  <si>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</si>
  <si>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</si>
  <si>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</si>
  <si>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</si>
  <si>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</si>
  <si>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</si>
  <si>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</si>
  <si>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</si>
  <si>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</si>
  <si>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</si>
  <si>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</si>
  <si>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</si>
  <si>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</si>
  <si>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</si>
  <si>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</si>
  <si>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</si>
  <si>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</si>
  <si>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</si>
  <si>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</si>
  <si>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</si>
  <si>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</si>
  <si>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</si>
  <si>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</si>
  <si>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</si>
  <si>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</si>
  <si>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</si>
  <si>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</si>
  <si>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</si>
  <si>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</si>
  <si>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</si>
  <si>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</si>
  <si>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</si>
  <si>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</si>
  <si>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</si>
  <si>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</si>
  <si>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</si>
  <si>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</si>
  <si>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</si>
  <si>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</si>
  <si>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</si>
  <si>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</si>
  <si>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</si>
  <si>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</si>
  <si>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</si>
  <si>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</si>
  <si>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</si>
  <si>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</si>
  <si>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</si>
  <si>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</si>
  <si>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</si>
  <si>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</si>
  <si>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</si>
  <si>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</si>
  <si>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</si>
  <si>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</si>
  <si>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</si>
  <si>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</si>
  <si>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</si>
  <si>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</si>
  <si>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</si>
  <si>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</si>
  <si>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</si>
  <si>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</si>
  <si>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</si>
  <si>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</si>
  <si>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</si>
  <si>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</si>
  <si>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</si>
  <si>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</si>
  <si>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</si>
  <si>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</si>
  <si>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</si>
  <si>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</si>
  <si>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</si>
  <si>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</si>
  <si>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</si>
  <si>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</si>
  <si>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</si>
  <si>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</si>
  <si>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</si>
  <si>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</si>
  <si>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</si>
  <si>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</si>
  <si>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</si>
  <si>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</si>
  <si>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</si>
  <si>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</si>
  <si>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</si>
  <si>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</si>
  <si>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</si>
  <si>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</si>
  <si>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</si>
  <si>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</si>
  <si>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</si>
  <si>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</si>
  <si>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</si>
  <si>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</si>
  <si>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</si>
  <si>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</si>
  <si>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</si>
  <si>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</si>
  <si>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</si>
  <si>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</si>
  <si>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</si>
  <si>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</si>
  <si>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</si>
  <si>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</si>
  <si>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</si>
  <si>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</si>
  <si>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</si>
  <si>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</si>
  <si>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</si>
  <si>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</si>
  <si>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</si>
  <si>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</si>
  <si>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</si>
  <si>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</si>
  <si>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</si>
  <si>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</si>
  <si>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</si>
  <si>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</si>
  <si>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</si>
  <si>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</si>
  <si>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</si>
  <si>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</si>
  <si>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</si>
  <si>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</si>
  <si>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</si>
  <si>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</si>
  <si>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</si>
  <si>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</si>
  <si>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</si>
  <si>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</si>
  <si>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</si>
  <si>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</si>
  <si>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</si>
  <si>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</si>
  <si>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</si>
  <si>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</si>
  <si>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</si>
  <si>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</si>
  <si>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</si>
  <si>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</si>
  <si>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</si>
  <si>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</si>
  <si>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</si>
  <si>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</si>
  <si>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</si>
  <si>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</si>
  <si>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</si>
  <si>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</si>
  <si>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</si>
  <si>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</si>
  <si>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</si>
  <si>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</si>
  <si>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</si>
  <si>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</si>
  <si>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</si>
  <si>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</si>
  <si>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</si>
  <si>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</si>
  <si>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</si>
  <si>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</si>
  <si>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</si>
  <si>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</si>
  <si>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</si>
  <si>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</si>
  <si>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</si>
  <si>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</si>
  <si>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</si>
  <si>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</si>
  <si>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</si>
  <si>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</si>
  <si>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</si>
  <si>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</si>
  <si>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</si>
  <si>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</si>
  <si>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</si>
  <si>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</si>
  <si>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</si>
  <si>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</si>
  <si>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</si>
  <si>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</si>
  <si>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</si>
  <si>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</si>
  <si>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</si>
  <si>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</si>
  <si>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</si>
  <si>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</si>
  <si>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</si>
  <si>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</si>
  <si>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</si>
  <si>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</si>
  <si>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</si>
  <si>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</si>
  <si>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</si>
  <si>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</si>
  <si>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</si>
  <si>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</si>
  <si>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</si>
  <si>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</si>
  <si>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</si>
  <si>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</si>
  <si>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</si>
  <si>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</si>
  <si>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</si>
  <si>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</si>
  <si>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</si>
  <si>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</si>
  <si>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</si>
  <si>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</si>
  <si>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</si>
  <si>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</si>
  <si>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</si>
  <si>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</si>
  <si>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</si>
  <si>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</si>
  <si>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</si>
  <si>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</si>
  <si>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</si>
  <si>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</si>
  <si>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</si>
  <si>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</si>
  <si>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</si>
  <si>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</si>
  <si>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</si>
  <si>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</si>
  <si>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</si>
  <si>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</si>
  <si>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</si>
  <si>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</si>
  <si>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</si>
  <si>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</si>
  <si>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</si>
  <si>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</si>
  <si>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</si>
  <si>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</si>
  <si>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</si>
  <si>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</si>
  <si>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</si>
  <si>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</si>
  <si>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</si>
  <si>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</si>
  <si>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</si>
  <si>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</si>
  <si>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</si>
  <si>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</si>
  <si>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</si>
  <si>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</si>
  <si>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</si>
  <si>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</si>
  <si>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</si>
  <si>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</si>
  <si>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</si>
  <si>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</si>
  <si>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</si>
  <si>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</si>
  <si>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</si>
  <si>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</si>
  <si>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</si>
  <si>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</si>
  <si>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</si>
  <si>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</si>
  <si>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</si>
  <si>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</si>
  <si>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</si>
  <si>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</si>
  <si>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</si>
  <si>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</si>
  <si>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</si>
  <si>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</si>
  <si>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</si>
  <si>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</si>
  <si>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</si>
  <si>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</si>
  <si>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</si>
  <si>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</si>
  <si>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</si>
  <si>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</si>
  <si>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</si>
  <si>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</si>
  <si>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</si>
  <si>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</si>
  <si>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</si>
  <si>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</si>
  <si>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</si>
  <si>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</si>
  <si>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</si>
  <si>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</si>
  <si>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</si>
  <si>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</si>
  <si>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</si>
  <si>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</si>
  <si>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</si>
  <si>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</si>
  <si>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</si>
  <si>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</si>
  <si>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</si>
  <si>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</si>
  <si>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</si>
  <si>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</si>
  <si>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</si>
  <si>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</si>
  <si>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</si>
  <si>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</si>
  <si>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</si>
  <si>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</si>
  <si>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</si>
  <si>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</si>
  <si>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</si>
  <si>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</si>
  <si>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</si>
  <si>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</si>
  <si>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</si>
  <si>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</si>
  <si>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</si>
  <si>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</si>
  <si>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</si>
  <si>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</si>
  <si>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</si>
  <si>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</si>
  <si>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</si>
  <si>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</si>
  <si>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</si>
  <si>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</si>
  <si>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</si>
  <si>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</si>
  <si>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</si>
  <si>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</si>
  <si>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</si>
  <si>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</si>
  <si>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</si>
  <si>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</si>
  <si>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</si>
  <si>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</si>
  <si>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</si>
  <si>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</si>
  <si>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</si>
  <si>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</si>
  <si>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</si>
  <si>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</si>
  <si>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</si>
  <si>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</si>
  <si>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</si>
  <si>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</si>
  <si>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</si>
  <si>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</si>
  <si>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</si>
  <si>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</si>
  <si>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</si>
  <si>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</si>
  <si>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</si>
  <si>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</si>
  <si>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</si>
  <si>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</si>
  <si>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</si>
  <si>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</si>
  <si>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</si>
  <si>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</si>
  <si>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</si>
  <si>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</si>
  <si>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</si>
  <si>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</si>
  <si>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</si>
  <si>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</si>
  <si>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</si>
  <si>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</si>
  <si>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</si>
  <si>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</si>
  <si>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</si>
  <si>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</si>
  <si>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</si>
  <si>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</si>
  <si>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</si>
  <si>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</si>
  <si>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</si>
  <si>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</si>
  <si>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</si>
  <si>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</si>
  <si>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</si>
  <si>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</si>
  <si>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</si>
  <si>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</si>
  <si>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</si>
  <si>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</si>
  <si>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</si>
  <si>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</si>
  <si>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</si>
  <si>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</si>
  <si>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</si>
  <si>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</si>
  <si>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</si>
  <si>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</si>
  <si>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</si>
  <si>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</si>
  <si>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</si>
  <si>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</si>
  <si>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</si>
  <si>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</si>
  <si>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</si>
  <si>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</si>
  <si>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</si>
  <si>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</si>
  <si>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</si>
  <si>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</si>
  <si>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</si>
  <si>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</si>
  <si>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</si>
  <si>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</si>
  <si>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</si>
  <si>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</si>
  <si>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</si>
  <si>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</si>
  <si>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</si>
  <si>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</si>
  <si>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</si>
  <si>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</si>
  <si>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</si>
  <si>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</si>
  <si>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</si>
  <si>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</si>
  <si>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</si>
  <si>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</si>
  <si>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</si>
  <si>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</si>
  <si>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</si>
  <si>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</si>
  <si>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</si>
  <si>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</si>
  <si>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</si>
  <si>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</si>
  <si>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</si>
  <si>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</si>
  <si>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</si>
  <si>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</si>
  <si>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</si>
  <si>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</si>
  <si>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</si>
  <si>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</si>
  <si>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</si>
  <si>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</si>
  <si>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</si>
  <si>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</si>
  <si>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</si>
  <si>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</si>
  <si>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</si>
  <si>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</si>
  <si>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</si>
  <si>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</si>
  <si>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</si>
  <si>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</si>
  <si>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</si>
  <si>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</si>
  <si>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</si>
  <si>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</si>
  <si>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</si>
  <si>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</si>
  <si>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</si>
  <si>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</si>
  <si>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</si>
  <si>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</si>
  <si>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</si>
  <si>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</si>
  <si>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</si>
  <si>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</si>
  <si>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</si>
  <si>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</si>
  <si>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</si>
  <si>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</si>
  <si>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</si>
  <si>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</si>
  <si>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</si>
  <si>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</si>
  <si>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</si>
  <si>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</si>
  <si>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</si>
  <si>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</si>
  <si>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</si>
  <si>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</si>
  <si>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</si>
  <si>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</si>
  <si>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</si>
  <si>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</si>
  <si>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</si>
  <si>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</si>
  <si>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</si>
  <si>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</si>
  <si>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</si>
  <si>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</si>
  <si>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</si>
  <si>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</si>
  <si>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</si>
  <si>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</si>
  <si>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</si>
  <si>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</si>
  <si>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</si>
  <si>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</si>
  <si>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</si>
  <si>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</si>
  <si>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</si>
  <si>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</si>
  <si>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</si>
  <si>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</si>
  <si>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</si>
  <si>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</si>
  <si>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</si>
  <si>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</si>
  <si>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</si>
  <si>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</si>
  <si>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</si>
  <si>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</si>
  <si>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</si>
  <si>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</si>
  <si>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</si>
  <si>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</si>
  <si>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</si>
  <si>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</si>
  <si>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</si>
  <si>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</si>
  <si>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</si>
  <si>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</si>
  <si>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</si>
  <si>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</si>
  <si>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</si>
  <si>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</si>
  <si>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</si>
  <si>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</si>
  <si>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</si>
  <si>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</si>
  <si>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</si>
  <si>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</si>
  <si>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</si>
  <si>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</si>
  <si>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</si>
  <si>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</si>
  <si>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</si>
  <si>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</si>
  <si>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</si>
  <si>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</si>
  <si>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</si>
  <si>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</si>
  <si>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</si>
  <si>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</si>
  <si>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</si>
  <si>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</si>
  <si>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</si>
  <si>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</si>
  <si>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</si>
  <si>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</si>
  <si>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</si>
  <si>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</si>
  <si>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</si>
  <si>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</si>
  <si>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</si>
  <si>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</si>
  <si>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</si>
  <si>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</si>
  <si>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</si>
  <si>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</si>
  <si>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</si>
  <si>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</si>
  <si>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</si>
  <si>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</si>
  <si>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</si>
  <si>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</si>
  <si>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</si>
  <si>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</si>
  <si>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</si>
  <si>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</si>
  <si>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</si>
  <si>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</si>
  <si>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</si>
  <si>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</si>
  <si>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</si>
  <si>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</si>
  <si>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</si>
  <si>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</si>
  <si>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</si>
  <si>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</si>
  <si>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</si>
  <si>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</si>
  <si>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</si>
  <si>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</si>
  <si>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</si>
  <si>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</si>
  <si>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</si>
  <si>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</si>
  <si>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</si>
  <si>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</si>
  <si>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</si>
  <si>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</si>
  <si>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</si>
  <si>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</si>
  <si>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</si>
  <si>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</si>
  <si>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</si>
  <si>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</si>
  <si>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</si>
  <si>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</si>
  <si>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</si>
  <si>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</si>
  <si>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</si>
  <si>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</si>
  <si>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</si>
  <si>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</si>
  <si>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</si>
  <si>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</si>
  <si>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</si>
  <si>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</si>
  <si>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</si>
  <si>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</si>
  <si>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</si>
  <si>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</si>
  <si>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</si>
  <si>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</si>
  <si>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</si>
  <si>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</si>
  <si>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</si>
  <si>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</si>
  <si>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</si>
  <si>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</si>
  <si>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</si>
  <si>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</si>
  <si>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</si>
  <si>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</si>
  <si>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</si>
  <si>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</si>
  <si>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</si>
  <si>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</si>
  <si>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</si>
  <si>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</si>
  <si>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</si>
  <si>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</si>
  <si>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</si>
  <si>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</si>
  <si>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</si>
  <si>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</si>
  <si>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</si>
  <si>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</si>
  <si>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</si>
  <si>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</si>
  <si>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</si>
  <si>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</si>
  <si>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</si>
  <si>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</si>
  <si>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</si>
  <si>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</si>
  <si>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</si>
  <si>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</si>
  <si>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</si>
  <si>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</si>
  <si>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</si>
  <si>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</si>
  <si>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</si>
  <si>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</si>
  <si>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</si>
  <si>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</si>
  <si>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</si>
  <si>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</si>
  <si>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</si>
  <si>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</si>
  <si>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</si>
  <si>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</si>
  <si>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</si>
  <si>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</si>
  <si>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</si>
  <si>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</si>
  <si>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</si>
  <si>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</si>
  <si>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</si>
  <si>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</si>
  <si>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</si>
  <si>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</si>
  <si>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</si>
  <si>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</si>
  <si>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</si>
  <si>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</si>
  <si>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</si>
  <si>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</si>
  <si>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</si>
  <si>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</si>
  <si>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</si>
  <si>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</si>
  <si>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</si>
  <si>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</si>
  <si>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</si>
  <si>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</si>
  <si>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</si>
  <si>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</si>
  <si>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</si>
  <si>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</si>
  <si>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</si>
  <si>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</si>
  <si>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</si>
  <si>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</si>
  <si>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</si>
  <si>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</si>
  <si>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</si>
  <si>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</si>
  <si>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</si>
  <si>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</si>
  <si>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</si>
  <si>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</si>
  <si>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</si>
  <si>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</si>
  <si>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</si>
  <si>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</si>
  <si>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</si>
  <si>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</si>
  <si>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</si>
  <si>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</si>
  <si>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</si>
  <si>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</si>
  <si>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</si>
  <si>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</si>
  <si>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</si>
  <si>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</si>
  <si>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</si>
  <si>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</si>
  <si>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</si>
  <si>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</si>
  <si>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</si>
  <si>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</si>
  <si>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</si>
  <si>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</si>
  <si>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</si>
  <si>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</si>
  <si>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</si>
  <si>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</si>
  <si>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</si>
  <si>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</si>
  <si>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</si>
  <si>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</si>
  <si>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</si>
  <si>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</si>
  <si>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</si>
  <si>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</si>
  <si>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</si>
  <si>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</si>
  <si>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</si>
  <si>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</si>
  <si>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</si>
  <si>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</si>
  <si>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</si>
  <si>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</si>
  <si>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</si>
  <si>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</si>
  <si>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</si>
  <si>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</si>
  <si>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</si>
  <si>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</si>
  <si>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</si>
  <si>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</si>
  <si>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</si>
  <si>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</si>
  <si>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</si>
  <si>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</si>
  <si>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</si>
  <si>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</si>
  <si>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</si>
  <si>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</si>
  <si>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</si>
  <si>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</si>
  <si>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</si>
  <si>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</si>
  <si>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</si>
  <si>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</si>
  <si>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</si>
  <si>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</si>
  <si>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</si>
  <si>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</si>
  <si>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</si>
  <si>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</si>
  <si>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</si>
  <si>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</si>
  <si>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</si>
  <si>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</si>
  <si>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</si>
  <si>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</si>
  <si>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</si>
  <si>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</si>
  <si>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</si>
  <si>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</si>
  <si>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</si>
  <si>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</si>
  <si>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</si>
  <si>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</si>
  <si>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</si>
  <si>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</si>
  <si>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</si>
  <si>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</si>
  <si>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</si>
  <si>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</si>
  <si>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</si>
  <si>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</si>
  <si>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</si>
  <si>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</si>
  <si>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</si>
  <si>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</si>
  <si>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</si>
  <si>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</si>
  <si>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</si>
  <si>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</si>
  <si>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</si>
  <si>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</si>
  <si>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</si>
  <si>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</si>
  <si>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</si>
  <si>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</si>
  <si>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</si>
  <si>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</si>
  <si>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</si>
  <si>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</si>
  <si>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</si>
  <si>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</si>
  <si>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</si>
  <si>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</si>
  <si>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</si>
  <si>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</si>
  <si>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</si>
  <si>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</si>
  <si>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</si>
  <si>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</si>
  <si>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</si>
  <si>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</si>
  <si>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</si>
  <si>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</si>
  <si>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</si>
  <si>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</si>
  <si>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</si>
  <si>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</si>
  <si>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</si>
  <si>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</si>
  <si>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</si>
  <si>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</si>
  <si>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</si>
  <si>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</si>
  <si>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</si>
  <si>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</si>
  <si>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</si>
  <si>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</si>
  <si>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</si>
  <si>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</si>
  <si>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</si>
  <si>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</si>
  <si>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</si>
  <si>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</si>
  <si>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</si>
  <si>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</si>
  <si>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</si>
  <si>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</si>
  <si>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</si>
  <si>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</si>
  <si>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</si>
  <si>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</si>
  <si>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</si>
  <si>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</si>
  <si>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</si>
  <si>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</si>
  <si>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</si>
  <si>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</si>
  <si>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</si>
  <si>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</si>
  <si>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</si>
  <si>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</si>
  <si>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</si>
  <si>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</si>
  <si>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</si>
  <si>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</si>
  <si>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</si>
  <si>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</si>
  <si>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</si>
  <si>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</si>
  <si>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</si>
  <si>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</si>
  <si>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</si>
  <si>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</si>
  <si>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</si>
  <si>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</si>
  <si>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</si>
  <si>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</si>
  <si>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</si>
  <si>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</si>
  <si>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</si>
  <si>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</si>
  <si>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</si>
  <si>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</si>
  <si>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</si>
  <si>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</si>
  <si>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</si>
  <si>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</si>
  <si>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</si>
  <si>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</si>
  <si>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</si>
  <si>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</si>
  <si>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</si>
  <si>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</si>
  <si>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</si>
  <si>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</si>
  <si>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</si>
  <si>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</si>
  <si>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</si>
  <si>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</si>
  <si>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</si>
  <si>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</si>
  <si>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</si>
  <si>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</si>
  <si>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</si>
  <si>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</si>
  <si>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</si>
  <si>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</si>
  <si>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</si>
  <si>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</si>
  <si>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</si>
  <si>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</si>
  <si>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</si>
  <si>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</si>
  <si>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</si>
  <si>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</si>
  <si>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</si>
  <si>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</si>
  <si>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</si>
  <si>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</si>
  <si>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</si>
  <si>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</si>
  <si>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</si>
  <si>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</si>
  <si>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</si>
  <si>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</si>
  <si>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</si>
  <si>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</si>
  <si>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</si>
  <si>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</si>
  <si>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</si>
  <si>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</si>
  <si>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</si>
  <si>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</si>
  <si>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</si>
  <si>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</si>
  <si>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</si>
  <si>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</si>
  <si>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</si>
  <si>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</si>
  <si>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</si>
  <si>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</si>
  <si>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</si>
  <si>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</si>
  <si>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</si>
  <si>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</si>
  <si>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</si>
  <si>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</si>
  <si>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</si>
  <si>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</si>
  <si>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</si>
  <si>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</si>
  <si>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</si>
  <si>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</si>
  <si>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</si>
  <si>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</si>
  <si>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</si>
  <si>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</si>
  <si>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</si>
  <si>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</si>
  <si>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</si>
  <si>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</si>
  <si>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</si>
  <si>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</si>
  <si>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</si>
  <si>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</si>
  <si>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</si>
  <si>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</si>
  <si>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</si>
  <si>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</si>
  <si>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</si>
  <si>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</si>
  <si>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</si>
  <si>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</si>
  <si>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</si>
  <si>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</si>
  <si>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</si>
  <si>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</si>
  <si>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</si>
  <si>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</si>
  <si>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</si>
  <si>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</si>
  <si>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</si>
  <si>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</si>
  <si>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</si>
  <si>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</si>
  <si>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</si>
  <si>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</si>
  <si>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</si>
  <si>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</si>
  <si>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</si>
  <si>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</si>
  <si>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</si>
  <si>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</si>
  <si>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</si>
  <si>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</si>
  <si>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</si>
  <si>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</si>
  <si>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</si>
  <si>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</si>
  <si>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</si>
  <si>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</si>
  <si>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</si>
  <si>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</si>
  <si>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</si>
  <si>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</si>
  <si>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</si>
  <si>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</si>
  <si>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</si>
  <si>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</si>
  <si>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</si>
  <si>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</si>
  <si>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</si>
  <si>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</si>
  <si>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</si>
  <si>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</si>
  <si>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</si>
  <si>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</si>
  <si>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</si>
  <si>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</si>
  <si>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</si>
  <si>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</si>
  <si>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</si>
  <si>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</si>
  <si>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</si>
  <si>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</si>
  <si>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</si>
  <si>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</si>
  <si>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</si>
  <si>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</si>
  <si>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</si>
  <si>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</si>
  <si>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</si>
  <si>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</si>
  <si>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</si>
  <si>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</si>
  <si>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</si>
  <si>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</si>
  <si>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</si>
  <si>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</si>
  <si>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</si>
  <si>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</si>
  <si>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</si>
  <si>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</si>
  <si>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</si>
  <si>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</si>
  <si>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</si>
  <si>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</si>
  <si>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</si>
  <si>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</si>
  <si>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</si>
  <si>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</si>
  <si>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</si>
  <si>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</si>
  <si>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</si>
  <si>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</si>
  <si>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</si>
  <si>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</si>
  <si>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</si>
  <si>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</si>
  <si>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</si>
  <si>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</si>
  <si>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</si>
  <si>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</si>
  <si>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</si>
  <si>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</si>
  <si>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</si>
  <si>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</si>
  <si>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</si>
  <si>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</si>
  <si>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</si>
  <si>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</si>
  <si>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</si>
  <si>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</si>
  <si>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</si>
  <si>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</si>
  <si>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</si>
  <si>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</si>
  <si>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</si>
  <si>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</si>
  <si>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</si>
  <si>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</si>
  <si>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</si>
  <si>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</si>
  <si>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</si>
  <si>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</si>
  <si>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</si>
  <si>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</si>
  <si>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</si>
  <si>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</si>
  <si>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</si>
  <si>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</si>
  <si>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</si>
  <si>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</si>
  <si>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</si>
  <si>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</si>
  <si>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</si>
  <si>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</si>
  <si>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</si>
  <si>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</si>
  <si>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</si>
  <si>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</si>
  <si>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</si>
  <si>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</si>
  <si>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</si>
  <si>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</si>
  <si>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</si>
  <si>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</si>
  <si>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</si>
  <si>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</si>
  <si>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</si>
  <si>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</si>
  <si>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</si>
  <si>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</si>
  <si>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</si>
  <si>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</si>
  <si>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</si>
  <si>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</si>
  <si>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</si>
  <si>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</si>
  <si>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</si>
  <si>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</si>
  <si>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</si>
  <si>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</si>
  <si>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</si>
  <si>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</si>
  <si>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</si>
  <si>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</si>
  <si>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</si>
  <si>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</si>
  <si>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</si>
  <si>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</si>
  <si>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</si>
  <si>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</si>
  <si>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</si>
  <si>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</si>
  <si>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</si>
  <si>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</si>
  <si>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</si>
  <si>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</si>
  <si>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</si>
  <si>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</si>
  <si>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</si>
  <si>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</si>
  <si>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</si>
  <si>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</si>
  <si>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</si>
  <si>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</si>
  <si>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</si>
  <si>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</si>
  <si>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</si>
  <si>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</si>
  <si>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</si>
  <si>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</si>
  <si>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</si>
  <si>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</si>
  <si>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</si>
  <si>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</si>
  <si>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</si>
  <si>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</si>
  <si>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</si>
  <si>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</si>
  <si>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</si>
  <si>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</si>
  <si>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</si>
  <si>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</si>
  <si>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</si>
  <si>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</si>
  <si>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</si>
  <si>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</si>
  <si>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</si>
  <si>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</si>
  <si>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</si>
  <si>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</si>
  <si>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</si>
  <si>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</si>
  <si>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</si>
  <si>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</si>
  <si>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</si>
  <si>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</si>
  <si>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</si>
  <si>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</si>
  <si>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</si>
  <si>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</si>
  <si>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</si>
  <si>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</si>
  <si>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</si>
  <si>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</si>
  <si>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</si>
  <si>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</si>
  <si>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</si>
  <si>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</si>
  <si>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</si>
  <si>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</si>
  <si>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</si>
  <si>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</si>
  <si>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</si>
  <si>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</si>
  <si>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</si>
  <si>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</si>
  <si>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</si>
  <si>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</si>
  <si>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</si>
  <si>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</si>
  <si>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</si>
  <si>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</si>
  <si>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</si>
  <si>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</si>
  <si>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</si>
  <si>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</si>
  <si>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</si>
  <si>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</si>
  <si>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</si>
  <si>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</si>
  <si>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</si>
  <si>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</si>
  <si>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</si>
  <si>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</si>
  <si>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</si>
  <si>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</si>
  <si>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</si>
  <si>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</si>
  <si>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</si>
  <si>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</si>
  <si>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</si>
  <si>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</si>
  <si>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</si>
  <si>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</si>
  <si>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</si>
  <si>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</si>
  <si>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</si>
  <si>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</si>
  <si>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</si>
  <si>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</si>
  <si>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</si>
  <si>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</si>
  <si>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</si>
  <si>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</si>
  <si>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</si>
  <si>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</si>
  <si>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</si>
  <si>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</si>
  <si>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</si>
  <si>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</si>
  <si>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</si>
  <si>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</si>
  <si>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</si>
  <si>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</si>
  <si>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</si>
  <si>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</si>
  <si>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</si>
  <si>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</si>
  <si>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</si>
  <si>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</si>
  <si>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</si>
  <si>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</si>
  <si>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</si>
  <si>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</si>
  <si>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</si>
  <si>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</si>
  <si>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</si>
  <si>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</si>
  <si>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</si>
  <si>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</si>
  <si>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</si>
  <si>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</si>
  <si>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</si>
  <si>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</si>
  <si>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</si>
  <si>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</si>
  <si>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</si>
  <si>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</si>
  <si>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</si>
  <si>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</si>
  <si>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</si>
  <si>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</si>
  <si>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</si>
  <si>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</si>
  <si>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</si>
  <si>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</si>
  <si>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</si>
  <si>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</si>
  <si>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</si>
  <si>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</si>
  <si>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</si>
  <si>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</si>
  <si>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</si>
  <si>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</si>
  <si>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</si>
  <si>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</si>
  <si>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</si>
  <si>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</si>
  <si>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</si>
  <si>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</si>
  <si>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</si>
  <si>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</si>
  <si>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</si>
  <si>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</si>
  <si>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</si>
  <si>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</si>
  <si>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</si>
  <si>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</si>
  <si>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</si>
  <si>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</si>
  <si>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</si>
  <si>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</si>
  <si>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</si>
  <si>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</si>
  <si>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</si>
  <si>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</si>
  <si>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</si>
  <si>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</si>
  <si>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</si>
  <si>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</si>
  <si>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</si>
  <si>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</si>
  <si>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</si>
  <si>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</si>
  <si>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</si>
  <si>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</si>
  <si>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</si>
  <si>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</si>
  <si>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</si>
  <si>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</si>
  <si>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</si>
  <si>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</si>
  <si>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</si>
  <si>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</si>
  <si>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</si>
  <si>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</si>
  <si>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</si>
  <si>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</si>
  <si>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</si>
  <si>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</si>
  <si>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</si>
  <si>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</si>
  <si>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</si>
  <si>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</si>
  <si>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</si>
  <si>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</si>
  <si>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</si>
  <si>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</si>
  <si>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</si>
  <si>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</si>
  <si>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</si>
  <si>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</si>
  <si>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</si>
  <si>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</si>
  <si>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</si>
  <si>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</si>
  <si>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</si>
  <si>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</si>
  <si>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</si>
  <si>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</si>
  <si>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</si>
  <si>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</si>
  <si>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</si>
  <si>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</si>
  <si>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</si>
  <si>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</si>
  <si>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</si>
  <si>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</si>
  <si>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</si>
  <si>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</si>
  <si>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</si>
  <si>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</si>
  <si>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</si>
  <si>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</si>
  <si>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</si>
  <si>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</si>
  <si>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</si>
  <si>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</si>
  <si>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</si>
  <si>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</si>
  <si>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</si>
  <si>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</si>
  <si>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</si>
  <si>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</si>
  <si>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</si>
  <si>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</si>
  <si>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</si>
  <si>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</si>
  <si>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</si>
  <si>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</si>
  <si>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</si>
  <si>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</si>
  <si>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</si>
  <si>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</si>
  <si>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</si>
  <si>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</si>
  <si>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</si>
  <si>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</si>
  <si>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</si>
  <si>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</si>
  <si>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</si>
  <si>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</si>
  <si>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</si>
  <si>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</si>
  <si>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</si>
  <si>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</si>
  <si>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</si>
  <si>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</si>
  <si>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</si>
  <si>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</si>
  <si>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</si>
  <si>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</si>
  <si>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</si>
  <si>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</si>
  <si>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</si>
  <si>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</si>
  <si>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</si>
  <si>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</si>
  <si>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</si>
  <si>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</si>
  <si>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</si>
  <si>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</si>
  <si>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</si>
  <si>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</si>
  <si>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</si>
  <si>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</si>
  <si>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</si>
  <si>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</si>
  <si>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</si>
  <si>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</si>
  <si>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</si>
  <si>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</si>
  <si>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</si>
  <si>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</si>
  <si>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</si>
  <si>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</si>
  <si>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</si>
  <si>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</si>
  <si>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</si>
  <si>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</si>
  <si>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</si>
  <si>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</si>
  <si>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</si>
  <si>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</si>
  <si>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</si>
  <si>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</si>
  <si>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</si>
  <si>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</si>
  <si>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</si>
  <si>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</si>
  <si>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</si>
  <si>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</si>
  <si>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</si>
  <si>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</si>
  <si>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</si>
  <si>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</si>
  <si>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</si>
  <si>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</si>
  <si>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</si>
  <si>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</si>
  <si>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</si>
  <si>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</si>
  <si>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</si>
  <si>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</si>
  <si>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</si>
  <si>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</si>
  <si>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</si>
  <si>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</si>
  <si>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</si>
  <si>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</si>
  <si>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</si>
  <si>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</si>
  <si>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</si>
  <si>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</si>
  <si>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</si>
  <si>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</si>
  <si>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</si>
  <si>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</si>
  <si>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</si>
  <si>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</si>
  <si>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</si>
  <si>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</si>
  <si>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</si>
  <si>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</si>
  <si>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</si>
  <si>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</si>
  <si>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</si>
  <si>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</si>
  <si>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</si>
  <si>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</si>
  <si>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</si>
  <si>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</si>
  <si>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</si>
  <si>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</si>
  <si>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</si>
  <si>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</si>
  <si>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</si>
  <si>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</si>
  <si>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</si>
  <si>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</si>
  <si>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</si>
  <si>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</si>
  <si>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</si>
  <si>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</si>
  <si>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</si>
  <si>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</si>
  <si>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</si>
  <si>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</si>
  <si>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</si>
  <si>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</si>
  <si>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</si>
  <si>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</si>
  <si>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</si>
  <si>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</si>
  <si>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</si>
  <si>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</si>
  <si>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</si>
  <si>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</si>
  <si>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</si>
  <si>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</si>
  <si>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</si>
  <si>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</si>
  <si>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</si>
  <si>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</si>
  <si>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</si>
  <si>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</si>
  <si>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</si>
  <si>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</si>
  <si>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</si>
  <si>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</si>
  <si>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</si>
  <si>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</si>
  <si>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</si>
  <si>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</si>
  <si>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</si>
  <si>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</si>
  <si>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</si>
  <si>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</si>
  <si>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</si>
  <si>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</si>
  <si>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</si>
  <si>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</si>
  <si>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</si>
  <si>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</si>
  <si>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</si>
  <si>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</si>
  <si>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</si>
  <si>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</si>
  <si>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</si>
  <si>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</si>
  <si>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</si>
  <si>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</si>
  <si>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</si>
  <si>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</si>
  <si>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</si>
  <si>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</si>
  <si>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</si>
  <si>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</si>
  <si>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</si>
  <si>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</si>
  <si>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</si>
  <si>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</si>
  <si>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</si>
  <si>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</si>
  <si>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</si>
  <si>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</si>
  <si>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</si>
  <si>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</si>
  <si>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</si>
  <si>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</si>
  <si>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</si>
  <si>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</si>
  <si>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</si>
  <si>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</si>
  <si>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</si>
  <si>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</si>
  <si>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</si>
  <si>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</si>
  <si>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</si>
  <si>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</si>
  <si>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</si>
  <si>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</si>
  <si>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</si>
  <si>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</si>
  <si>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</si>
  <si>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</si>
  <si>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</si>
  <si>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</si>
  <si>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</si>
  <si>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</si>
  <si>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</si>
  <si>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</si>
  <si>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</si>
  <si>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</si>
  <si>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</si>
  <si>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</si>
  <si>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</si>
  <si>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</si>
  <si>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</si>
  <si>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</si>
  <si>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</si>
  <si>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</si>
  <si>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</si>
  <si>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</si>
  <si>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</si>
  <si>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</si>
  <si>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</si>
  <si>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</si>
  <si>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</si>
  <si>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</si>
  <si>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</si>
  <si>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</si>
  <si>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</si>
  <si>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</si>
  <si>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</si>
  <si>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</si>
  <si>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</si>
  <si>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</si>
  <si>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</si>
  <si>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</si>
  <si>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</si>
  <si>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</si>
  <si>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</si>
  <si>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</si>
  <si>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</si>
  <si>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</si>
  <si>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</si>
  <si>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</si>
  <si>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</si>
  <si>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</si>
  <si>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</si>
  <si>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</si>
  <si>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</si>
  <si>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</si>
  <si>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</si>
  <si>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</si>
  <si>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</si>
  <si>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</si>
  <si>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</si>
  <si>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</si>
  <si>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</si>
  <si>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</si>
  <si>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</si>
  <si>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</si>
  <si>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</si>
  <si>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</si>
  <si>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</si>
  <si>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</si>
  <si>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</si>
  <si>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</si>
  <si>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</si>
  <si>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</si>
  <si>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</si>
  <si>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</si>
  <si>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</si>
  <si>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</si>
  <si>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</si>
  <si>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</si>
  <si>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</si>
  <si>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</si>
  <si>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</si>
  <si>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</si>
  <si>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</si>
  <si>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</si>
  <si>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</si>
  <si>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</si>
  <si>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</si>
  <si>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</si>
  <si>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</si>
  <si>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</si>
  <si>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</si>
  <si>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</si>
  <si>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</si>
  <si>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</si>
  <si>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</si>
  <si>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</si>
  <si>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</si>
  <si>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</si>
  <si>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</si>
  <si>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</si>
  <si>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</si>
  <si>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</si>
  <si>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</si>
  <si>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</si>
  <si>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</si>
  <si>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</si>
  <si>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</si>
  <si>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</si>
  <si>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</si>
  <si>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</si>
  <si>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</si>
  <si>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</si>
  <si>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</si>
  <si>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</si>
  <si>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</si>
  <si>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</si>
  <si>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</si>
  <si>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</si>
  <si>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</si>
  <si>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</si>
  <si>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</si>
  <si>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</si>
  <si>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</si>
  <si>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</si>
  <si>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</si>
  <si>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</si>
  <si>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</si>
  <si>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</si>
  <si>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</si>
  <si>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</si>
  <si>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</si>
  <si>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</si>
  <si>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</si>
  <si>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</si>
  <si>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</si>
  <si>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</si>
  <si>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</si>
  <si>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</si>
  <si>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</si>
  <si>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</si>
  <si>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</si>
  <si>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</si>
  <si>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</si>
  <si>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</si>
  <si>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</si>
  <si>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</si>
  <si>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</si>
  <si>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</si>
  <si>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</si>
  <si>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</si>
  <si>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</si>
  <si>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</si>
  <si>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</si>
  <si>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</si>
  <si>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</si>
  <si>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</si>
  <si>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</si>
  <si>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</si>
  <si>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</si>
  <si>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</si>
  <si>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</si>
  <si>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</si>
  <si>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</si>
  <si>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</si>
  <si>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</si>
  <si>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</si>
  <si>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</si>
  <si>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</si>
  <si>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</si>
  <si>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</si>
  <si>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</si>
  <si>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</si>
  <si>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</si>
  <si>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</si>
  <si>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</si>
  <si>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</si>
  <si>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</si>
  <si>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</si>
  <si>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</si>
  <si>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</si>
  <si>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</si>
  <si>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</si>
  <si>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</si>
  <si>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</si>
  <si>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</si>
  <si>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</si>
  <si>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</si>
  <si>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</si>
  <si>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</si>
  <si>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</si>
  <si>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</si>
  <si>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</si>
  <si>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</si>
  <si>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</si>
  <si>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</si>
  <si>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</si>
  <si>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</si>
  <si>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</si>
  <si>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</si>
  <si>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</si>
  <si>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</si>
  <si>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</si>
  <si>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</si>
  <si>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</si>
  <si>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</si>
  <si>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</si>
  <si>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</si>
  <si>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</si>
  <si>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</si>
  <si>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</si>
  <si>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</si>
  <si>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</si>
  <si>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</si>
  <si>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</si>
  <si>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</si>
  <si>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</si>
  <si>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</si>
  <si>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</si>
  <si>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</si>
  <si>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</si>
  <si>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</si>
  <si>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</si>
  <si>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</si>
  <si>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</si>
  <si>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</si>
  <si>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</si>
  <si>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</si>
  <si>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</si>
  <si>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</si>
  <si>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</si>
  <si>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</si>
  <si>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</si>
  <si>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</si>
  <si>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</si>
  <si>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</si>
  <si>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</si>
  <si>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</si>
  <si>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</si>
  <si>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</si>
  <si>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</si>
  <si>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</si>
  <si>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</si>
  <si>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</si>
  <si>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</si>
  <si>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</si>
  <si>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</si>
  <si>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</si>
  <si>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</si>
  <si>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</si>
  <si>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</si>
  <si>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</si>
  <si>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</si>
  <si>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</si>
  <si>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</si>
  <si>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</si>
  <si>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</si>
  <si>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</si>
  <si>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</si>
  <si>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</si>
  <si>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</si>
  <si>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</si>
  <si>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</si>
  <si>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</si>
  <si>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</si>
  <si>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</si>
  <si>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</si>
  <si>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</si>
  <si>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</si>
  <si>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</si>
  <si>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</si>
  <si>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</si>
  <si>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</si>
  <si>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</si>
  <si>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</si>
  <si>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</si>
  <si>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</si>
  <si>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</si>
  <si>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</si>
  <si>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</si>
  <si>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</si>
  <si>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</si>
  <si>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</si>
  <si>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</si>
  <si>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</si>
  <si>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</si>
  <si>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</si>
  <si>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</si>
  <si>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</si>
  <si>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</si>
  <si>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</si>
  <si>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</si>
  <si>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</si>
  <si>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</si>
  <si>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</si>
  <si>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</si>
  <si>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</si>
  <si>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</si>
  <si>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</si>
  <si>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</si>
  <si>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</si>
  <si>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</si>
  <si>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</si>
  <si>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</si>
  <si>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</si>
  <si>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</si>
  <si>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</si>
  <si>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</si>
  <si>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</si>
  <si>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</si>
  <si>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</si>
  <si>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</si>
  <si>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</si>
  <si>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</si>
  <si>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</si>
  <si>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</si>
  <si>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</si>
  <si>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</si>
  <si>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</si>
  <si>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</si>
  <si>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</si>
  <si>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</si>
  <si>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</si>
  <si>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</si>
  <si>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</si>
  <si>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</si>
  <si>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</si>
  <si>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</si>
  <si>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</si>
  <si>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</si>
  <si>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</si>
  <si>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</si>
  <si>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</si>
  <si>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</si>
  <si>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</si>
  <si>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</si>
  <si>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</si>
  <si>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</si>
  <si>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</si>
  <si>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</si>
  <si>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</si>
  <si>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</si>
  <si>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</si>
  <si>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</si>
  <si>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</si>
  <si>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</si>
  <si>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</si>
  <si>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</si>
  <si>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</si>
  <si>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</si>
  <si>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</si>
  <si>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</si>
  <si>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</si>
  <si>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</si>
  <si>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</si>
  <si>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</si>
  <si>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</si>
  <si>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</si>
  <si>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</si>
  <si>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</si>
  <si>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</si>
  <si>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</si>
  <si>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</si>
  <si>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</si>
  <si>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</si>
  <si>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</si>
  <si>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</si>
  <si>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</si>
  <si>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</si>
  <si>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</si>
  <si>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</si>
  <si>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</si>
  <si>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</si>
  <si>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</si>
  <si>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</si>
  <si>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</si>
  <si>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</si>
  <si>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</si>
  <si>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</si>
  <si>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</si>
  <si>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</si>
  <si>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</si>
  <si>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</si>
  <si>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</si>
  <si>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</si>
  <si>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</si>
  <si>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</si>
  <si>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</si>
  <si>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</si>
  <si>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</si>
  <si>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</si>
  <si>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</si>
  <si>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</si>
  <si>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</si>
  <si>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</si>
  <si>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</si>
  <si>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</si>
  <si>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</si>
  <si>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</si>
  <si>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</si>
  <si>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</si>
  <si>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</si>
  <si>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</si>
  <si>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</si>
  <si>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</si>
  <si>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</si>
  <si>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</si>
  <si>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</si>
  <si>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</si>
  <si>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</si>
  <si>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</si>
  <si>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</si>
  <si>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</si>
  <si>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</si>
  <si>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</si>
  <si>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</si>
  <si>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</si>
  <si>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</si>
  <si>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</si>
  <si>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</si>
  <si>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</si>
  <si>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</si>
  <si>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</si>
  <si>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</si>
  <si>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</si>
  <si>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</si>
  <si>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</si>
  <si>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</si>
  <si>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</si>
  <si>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</si>
  <si>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</si>
  <si>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</si>
  <si>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</si>
  <si>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</si>
  <si>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</si>
  <si>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</si>
  <si>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</si>
  <si>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</si>
  <si>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</si>
  <si>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</si>
  <si>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</si>
  <si>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</si>
  <si>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</si>
  <si>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</si>
  <si>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</si>
  <si>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</si>
  <si>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</si>
  <si>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</si>
  <si>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</si>
  <si>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</si>
  <si>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</si>
  <si>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</si>
  <si>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</si>
  <si>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</si>
  <si>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</si>
  <si>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</si>
  <si>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</si>
  <si>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</si>
  <si>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</si>
  <si>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</si>
  <si>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</si>
  <si>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</si>
  <si>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</si>
  <si>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</si>
  <si>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</si>
  <si>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</si>
  <si>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</si>
  <si>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</si>
  <si>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</si>
  <si>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</si>
  <si>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</si>
  <si>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</si>
  <si>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</si>
  <si>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</si>
  <si>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</si>
  <si>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</si>
  <si>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</si>
  <si>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</si>
  <si>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</si>
  <si>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</si>
  <si>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</si>
  <si>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</si>
  <si>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</si>
  <si>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</si>
  <si>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</si>
  <si>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</si>
  <si>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</si>
  <si>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</si>
  <si>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</si>
  <si>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</si>
  <si>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</si>
  <si>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</si>
  <si>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</si>
  <si>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</si>
  <si>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</si>
  <si>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</si>
  <si>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</si>
  <si>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</si>
  <si>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</si>
  <si>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</si>
  <si>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</si>
  <si>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</si>
  <si>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</si>
  <si>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</si>
  <si>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</si>
  <si>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</si>
  <si>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</si>
  <si>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</si>
  <si>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</si>
  <si>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</si>
  <si>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</si>
  <si>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</si>
  <si>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</si>
  <si>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</si>
  <si>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</si>
  <si>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</si>
  <si>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</si>
  <si>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</si>
  <si>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</si>
  <si>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</si>
  <si>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</si>
  <si>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</si>
  <si>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</si>
  <si>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</si>
  <si>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</si>
  <si>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</si>
  <si>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</si>
  <si>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</si>
  <si>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</si>
  <si>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</si>
  <si>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</si>
  <si>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</si>
  <si>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</si>
  <si>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</si>
  <si>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</si>
  <si>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</si>
  <si>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</si>
  <si>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</si>
  <si>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</si>
  <si>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</si>
  <si>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</si>
  <si>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</si>
  <si>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</si>
  <si>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</si>
  <si>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</si>
  <si>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</si>
  <si>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</si>
  <si>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</si>
  <si>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</si>
  <si>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</si>
  <si>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</si>
  <si>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</si>
  <si>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</si>
  <si>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</si>
  <si>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</si>
  <si>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</si>
  <si>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</si>
  <si>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</si>
  <si>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</si>
  <si>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</si>
  <si>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</si>
  <si>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</si>
  <si>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</si>
  <si>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</si>
  <si>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</si>
  <si>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</si>
  <si>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</si>
  <si>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</si>
  <si>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</si>
  <si>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</si>
  <si>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</si>
  <si>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</si>
  <si>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</si>
  <si>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</si>
  <si>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</si>
  <si>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</si>
  <si>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</si>
  <si>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</si>
  <si>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</si>
  <si>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</si>
  <si>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</si>
  <si>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</si>
  <si>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</si>
  <si>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</si>
  <si>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</si>
  <si>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</si>
  <si>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</si>
  <si>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</si>
  <si>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</si>
  <si>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</si>
  <si>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</si>
  <si>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</si>
  <si>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</si>
  <si>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</si>
  <si>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</si>
  <si>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</si>
  <si>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</si>
  <si>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</si>
  <si>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</si>
  <si>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</si>
  <si>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</si>
  <si>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</si>
  <si>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</si>
  <si>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</si>
  <si>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</si>
  <si>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</si>
  <si>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</si>
  <si>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</si>
  <si>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</si>
  <si>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</si>
  <si>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</si>
  <si>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</si>
  <si>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</si>
  <si>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</si>
  <si>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</si>
  <si>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</si>
  <si>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</si>
  <si>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</si>
  <si>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</si>
  <si>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</si>
  <si>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</si>
  <si>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</si>
  <si>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</si>
  <si>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</si>
  <si>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</si>
  <si>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</si>
  <si>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</si>
  <si>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</si>
  <si>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</si>
  <si>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</si>
  <si>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</si>
  <si>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</si>
  <si>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</si>
  <si>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</si>
  <si>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</si>
  <si>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</si>
  <si>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</si>
  <si>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</si>
  <si>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</si>
  <si>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</si>
  <si>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</si>
  <si>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</si>
  <si>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</si>
  <si>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</si>
  <si>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</si>
  <si>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</si>
  <si>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</si>
  <si>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</si>
  <si>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</si>
  <si>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</si>
  <si>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</si>
  <si>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</si>
  <si>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</si>
  <si>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</si>
  <si>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</si>
  <si>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</si>
  <si>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</si>
  <si>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</si>
  <si>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</si>
  <si>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</si>
  <si>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</si>
  <si>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</si>
  <si>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</si>
  <si>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</si>
  <si>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</si>
  <si>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</si>
  <si>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</si>
  <si>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</si>
  <si>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</si>
  <si>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</si>
  <si>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</si>
  <si>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</si>
  <si>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</si>
  <si>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</si>
  <si>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</si>
  <si>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</si>
  <si>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</si>
  <si>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</si>
  <si>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</si>
  <si>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</si>
  <si>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</si>
  <si>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</si>
  <si>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</si>
  <si>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</si>
  <si>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</si>
  <si>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</si>
  <si>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</si>
  <si>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</si>
  <si>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</si>
  <si>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</si>
  <si>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</si>
  <si>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</si>
  <si>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</si>
  <si>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</si>
  <si>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</si>
  <si>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</si>
  <si>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</si>
  <si>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</si>
  <si>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</si>
  <si>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</si>
  <si>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</si>
  <si>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</si>
  <si>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</si>
  <si>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</si>
  <si>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</si>
  <si>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</si>
  <si>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</si>
  <si>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</si>
  <si>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</si>
  <si>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</si>
  <si>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</si>
  <si>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</si>
  <si>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</si>
  <si>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</si>
  <si>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</si>
  <si>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</si>
  <si>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</si>
  <si>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</si>
  <si>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</si>
  <si>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</si>
  <si>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</si>
  <si>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</si>
  <si>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</si>
  <si>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</si>
  <si>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</si>
  <si>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</si>
  <si>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</si>
  <si>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</si>
  <si>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</si>
  <si>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</si>
  <si>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</si>
  <si>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</si>
  <si>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</si>
  <si>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</si>
  <si>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</si>
  <si>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</si>
  <si>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</si>
  <si>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</si>
  <si>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</si>
  <si>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</si>
  <si>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</si>
  <si>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</si>
  <si>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</si>
  <si>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</si>
  <si>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</si>
  <si>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</si>
  <si>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</si>
  <si>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</si>
  <si>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</si>
  <si>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</si>
  <si>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</si>
  <si>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</si>
  <si>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</si>
  <si>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</si>
  <si>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</si>
  <si>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</si>
  <si>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</si>
  <si>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</si>
  <si>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</si>
  <si>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</si>
  <si>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</si>
  <si>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</si>
  <si>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</si>
  <si>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</si>
  <si>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</si>
  <si>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</si>
  <si>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</si>
  <si>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</si>
  <si>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</si>
  <si>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</si>
  <si>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</si>
  <si>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</si>
  <si>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</si>
  <si>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</si>
  <si>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</si>
  <si>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</si>
  <si>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</si>
  <si>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</si>
  <si>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</si>
  <si>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</si>
  <si>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</si>
  <si>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</si>
  <si>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</si>
  <si>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</si>
  <si>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</si>
  <si>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</si>
  <si>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</si>
  <si>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</si>
  <si>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</si>
  <si>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</si>
  <si>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</si>
  <si>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</si>
  <si>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</si>
  <si>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</si>
  <si>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</si>
  <si>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</si>
  <si>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</si>
  <si>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</si>
  <si>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</si>
  <si>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</si>
  <si>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</si>
  <si>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</si>
  <si>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</si>
  <si>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</si>
  <si>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</si>
  <si>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</si>
  <si>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</si>
  <si>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</si>
  <si>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</si>
  <si>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</si>
  <si>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</si>
  <si>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</si>
  <si>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</si>
  <si>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</si>
  <si>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</si>
  <si>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</si>
  <si>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</si>
  <si>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</si>
  <si>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</si>
  <si>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</si>
  <si>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</si>
  <si>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</si>
  <si>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</si>
  <si>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</si>
  <si>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</si>
  <si>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</si>
  <si>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</si>
  <si>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</si>
  <si>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</si>
  <si>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</si>
  <si>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</si>
  <si>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</si>
  <si>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</si>
  <si>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</si>
  <si>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</si>
  <si>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</si>
  <si>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</si>
  <si>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</si>
  <si>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</si>
  <si>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</si>
  <si>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</si>
  <si>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</si>
  <si>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</si>
  <si>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</si>
  <si>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</si>
  <si>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</si>
  <si>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</si>
  <si>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</si>
  <si>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</si>
  <si>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</si>
  <si>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</si>
  <si>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</si>
  <si>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</si>
  <si>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</si>
  <si>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</si>
  <si>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</si>
  <si>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</si>
  <si>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</si>
  <si>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</si>
  <si>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</si>
  <si>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</si>
  <si>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</si>
  <si>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</si>
  <si>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</si>
  <si>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</si>
  <si>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</si>
  <si>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</si>
  <si>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</si>
  <si>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</si>
  <si>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</si>
  <si>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</si>
  <si>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</si>
  <si>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</si>
  <si>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</si>
  <si>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</si>
  <si>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</si>
  <si>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</si>
  <si>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</si>
  <si>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</si>
  <si>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</si>
  <si>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</si>
  <si>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</si>
  <si>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</si>
  <si>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</si>
  <si>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</si>
  <si>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</si>
  <si>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</si>
  <si>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</si>
  <si>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</si>
  <si>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</si>
  <si>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</si>
  <si>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</si>
  <si>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</si>
  <si>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</si>
  <si>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</si>
  <si>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</si>
  <si>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</si>
  <si>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</si>
  <si>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</si>
  <si>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</si>
  <si>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</si>
  <si>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</si>
  <si>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</si>
  <si>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</si>
  <si>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</si>
  <si>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</si>
  <si>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</si>
  <si>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</si>
  <si>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</si>
  <si>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</si>
  <si>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</si>
  <si>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</si>
  <si>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</si>
  <si>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</si>
  <si>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</si>
  <si>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</si>
  <si>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</si>
  <si>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</si>
  <si>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</si>
  <si>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</si>
  <si>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</si>
  <si>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</si>
  <si>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</si>
  <si>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</si>
  <si>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</si>
  <si>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</si>
  <si>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</si>
  <si>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</si>
  <si>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</si>
  <si>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</si>
  <si>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</si>
  <si>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</si>
  <si>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</si>
  <si>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</si>
  <si>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</si>
  <si>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</si>
  <si>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</si>
  <si>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</si>
  <si>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</si>
  <si>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</si>
  <si>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</si>
  <si>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</si>
  <si>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</si>
  <si>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</si>
  <si>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</si>
  <si>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</si>
  <si>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</si>
  <si>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</si>
  <si>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</si>
  <si>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</si>
  <si>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</si>
  <si>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</si>
  <si>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</si>
  <si>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</si>
  <si>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</si>
  <si>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</si>
  <si>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</si>
  <si>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</si>
  <si>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</si>
  <si>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</si>
  <si>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</si>
  <si>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</si>
  <si>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</si>
  <si>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</si>
  <si>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</si>
  <si>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</si>
  <si>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</si>
  <si>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</si>
  <si>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</si>
  <si>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</si>
  <si>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</si>
  <si>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</si>
  <si>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</si>
  <si>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</si>
  <si>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</si>
  <si>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</si>
  <si>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</si>
  <si>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</si>
  <si>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</si>
  <si>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</si>
  <si>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</si>
  <si>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</si>
  <si>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</si>
  <si>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</si>
  <si>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</si>
  <si>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</si>
  <si>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</si>
  <si>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</si>
  <si>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</si>
  <si>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</si>
  <si>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</si>
  <si>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</si>
  <si>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</si>
  <si>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</si>
  <si>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</si>
  <si>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</si>
  <si>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</si>
  <si>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</si>
  <si>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</si>
  <si>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</si>
  <si>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</si>
  <si>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</si>
  <si>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</si>
  <si>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</si>
  <si>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</si>
  <si>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</si>
  <si>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</si>
  <si>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</si>
  <si>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</si>
  <si>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</si>
  <si>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</si>
  <si>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</si>
  <si>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</si>
  <si>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</si>
  <si>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</si>
  <si>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</si>
  <si>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</si>
  <si>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</si>
  <si>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</si>
  <si>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</si>
  <si>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</si>
  <si>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</si>
  <si>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</si>
  <si>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</si>
  <si>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</si>
  <si>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</si>
  <si>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</si>
  <si>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</si>
  <si>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</si>
  <si>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</si>
  <si>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</si>
  <si>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</si>
  <si>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</si>
  <si>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</si>
  <si>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</si>
  <si>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</si>
  <si>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</si>
  <si>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</si>
  <si>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</si>
  <si>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</si>
  <si>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</si>
  <si>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</si>
  <si>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</si>
  <si>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</si>
  <si>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</si>
  <si>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</si>
  <si>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</si>
  <si>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</si>
  <si>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</si>
  <si>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</si>
  <si>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</si>
  <si>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</si>
  <si>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</si>
  <si>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</si>
  <si>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</si>
  <si>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</si>
  <si>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</si>
  <si>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</si>
  <si>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</si>
  <si>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</si>
  <si>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</si>
  <si>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</si>
  <si>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</si>
  <si>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</si>
  <si>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</si>
  <si>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</si>
  <si>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</si>
  <si>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</si>
  <si>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</si>
  <si>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</si>
  <si>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</si>
  <si>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</si>
  <si>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</si>
  <si>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</si>
  <si>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</si>
  <si>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</si>
  <si>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</si>
  <si>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</si>
  <si>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</si>
  <si>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</si>
  <si>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</si>
  <si>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</si>
  <si>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</si>
  <si>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</si>
  <si>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</si>
  <si>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</si>
  <si>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</si>
  <si>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</si>
  <si>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</si>
  <si>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</si>
  <si>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</si>
  <si>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</si>
  <si>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</si>
  <si>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</si>
  <si>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</si>
  <si>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</si>
  <si>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</si>
  <si>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</si>
  <si>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</si>
  <si>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</si>
  <si>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</si>
  <si>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</si>
  <si>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</si>
  <si>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</si>
  <si>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</si>
  <si>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</si>
  <si>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</si>
  <si>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</si>
  <si>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</si>
  <si>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</si>
  <si>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</si>
  <si>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</si>
  <si>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</si>
  <si>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</si>
  <si>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</si>
  <si>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</si>
  <si>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</si>
  <si>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</si>
  <si>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</si>
  <si>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</si>
  <si>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</si>
  <si>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</si>
  <si>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</si>
  <si>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</si>
  <si>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</si>
  <si>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</si>
  <si>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</si>
  <si>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</si>
  <si>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</si>
  <si>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</si>
  <si>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</si>
  <si>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</si>
  <si>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</si>
  <si>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</si>
  <si>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</si>
  <si>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</si>
  <si>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</si>
  <si>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</si>
  <si>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</si>
  <si>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</si>
  <si>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</si>
  <si>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</si>
  <si>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</si>
  <si>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</si>
  <si>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</si>
  <si>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</si>
  <si>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</si>
  <si>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</si>
  <si>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</si>
  <si>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</si>
  <si>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</si>
  <si>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</si>
  <si>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</si>
  <si>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</si>
  <si>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</si>
  <si>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</si>
  <si>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</si>
  <si>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</si>
  <si>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</si>
  <si>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</si>
  <si>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</si>
  <si>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</si>
  <si>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</si>
  <si>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</si>
  <si>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</si>
  <si>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</si>
  <si>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</si>
  <si>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</si>
  <si>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</si>
  <si>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</si>
  <si>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</si>
  <si>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</si>
  <si>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</si>
  <si>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</si>
  <si>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</si>
  <si>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</si>
  <si>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</si>
  <si>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</si>
  <si>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</si>
  <si>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</si>
  <si>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</si>
  <si>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</si>
  <si>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</si>
  <si>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</si>
  <si>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</si>
  <si>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</si>
  <si>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</si>
  <si>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</si>
  <si>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</si>
  <si>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</si>
  <si>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</si>
  <si>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</si>
  <si>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</si>
  <si>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</si>
  <si>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</si>
  <si>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</si>
  <si>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</si>
  <si>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</si>
  <si>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</si>
  <si>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</si>
  <si>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</si>
  <si>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</si>
  <si>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</si>
  <si>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</si>
  <si>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</si>
  <si>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</si>
  <si>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</si>
  <si>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</si>
  <si>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</si>
  <si>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</si>
  <si>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</si>
  <si>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</si>
  <si>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</si>
  <si>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</si>
  <si>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</si>
  <si>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</si>
  <si>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</si>
  <si>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</si>
  <si>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</si>
  <si>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</si>
  <si>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</si>
  <si>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</si>
  <si>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</si>
  <si>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</si>
  <si>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</si>
  <si>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</si>
  <si>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</si>
  <si>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</si>
  <si>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</si>
  <si>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</si>
  <si>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</si>
  <si>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</si>
  <si>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</si>
  <si>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</si>
  <si>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</si>
  <si>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</si>
  <si>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</si>
  <si>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</si>
  <si>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</si>
  <si>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</si>
  <si>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</si>
  <si>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</si>
  <si>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</si>
  <si>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</si>
  <si>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</si>
  <si>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</si>
  <si>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</si>
  <si>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</si>
  <si>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</si>
  <si>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</si>
  <si>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</si>
  <si>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</si>
  <si>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</si>
  <si>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</si>
  <si>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</si>
  <si>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</si>
  <si>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</si>
  <si>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</si>
  <si>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</si>
  <si>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</si>
  <si>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</si>
  <si>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</si>
  <si>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</si>
  <si>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</si>
  <si>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</si>
  <si>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</si>
  <si>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</si>
  <si>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</si>
  <si>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</si>
  <si>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</si>
  <si>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</si>
  <si>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</si>
  <si>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</si>
  <si>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</si>
  <si>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</si>
  <si>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</si>
  <si>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</si>
  <si>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</si>
  <si>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</si>
  <si>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</si>
  <si>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</si>
  <si>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</si>
  <si>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</si>
  <si>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</si>
  <si>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</si>
  <si>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</si>
  <si>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</si>
  <si>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</si>
  <si>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</si>
  <si>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</si>
  <si>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</si>
  <si>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</si>
  <si>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</si>
  <si>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</si>
  <si>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</si>
  <si>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</si>
  <si>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</si>
  <si>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</si>
  <si>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</si>
  <si>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</si>
  <si>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</si>
  <si>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</si>
  <si>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</si>
  <si>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</si>
  <si>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</si>
  <si>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</si>
  <si>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</si>
  <si>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</si>
  <si>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</si>
  <si>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</si>
  <si>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</si>
  <si>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</si>
  <si>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</si>
  <si>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</si>
  <si>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</si>
  <si>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</si>
  <si>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</si>
  <si>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</si>
  <si>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</si>
  <si>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</si>
  <si>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</si>
  <si>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</si>
  <si>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</si>
  <si>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</si>
  <si>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</si>
  <si>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</si>
  <si>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</si>
  <si>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</si>
  <si>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</si>
  <si>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</si>
  <si>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</si>
  <si>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</si>
  <si>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</si>
  <si>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</si>
  <si>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</si>
  <si>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</si>
  <si>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</si>
  <si>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</si>
  <si>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</si>
  <si>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</si>
  <si>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</si>
  <si>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</si>
  <si>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</si>
  <si>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</si>
  <si>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</si>
  <si>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</si>
  <si>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</si>
  <si>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</si>
  <si>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</si>
  <si>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</si>
  <si>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</si>
  <si>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</si>
  <si>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</si>
  <si>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</si>
  <si>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</si>
  <si>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</si>
  <si>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</si>
  <si>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</si>
  <si>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</si>
  <si>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</si>
  <si>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</si>
  <si>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</si>
  <si>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</si>
  <si>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</si>
  <si>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</si>
  <si>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</si>
  <si>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</si>
  <si>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</si>
  <si>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</si>
  <si>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</si>
  <si>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</si>
  <si>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</si>
  <si>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</si>
  <si>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</si>
  <si>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</si>
  <si>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</si>
  <si>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</si>
  <si>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</si>
  <si>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</si>
  <si>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</si>
  <si>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</si>
  <si>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</si>
  <si>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</si>
  <si>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</si>
  <si>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</si>
  <si>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</si>
  <si>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</si>
  <si>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</si>
  <si>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</si>
  <si>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</si>
  <si>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</si>
  <si>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</si>
  <si>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</si>
  <si>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</si>
  <si>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</si>
  <si>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</si>
  <si>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</si>
  <si>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</si>
  <si>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</si>
  <si>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</si>
  <si>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</si>
  <si>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</si>
  <si>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</si>
  <si>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</si>
  <si>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</si>
  <si>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</si>
  <si>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</si>
  <si>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</si>
  <si>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</si>
  <si>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</si>
  <si>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</si>
  <si>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</si>
  <si>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</si>
  <si>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</si>
  <si>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</si>
  <si>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</si>
  <si>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</si>
  <si>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</si>
  <si>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</si>
  <si>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</si>
  <si>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</si>
  <si>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</si>
  <si>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</si>
  <si>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</si>
  <si>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</si>
  <si>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</si>
  <si>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</si>
  <si>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</si>
  <si>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</si>
  <si>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</si>
  <si>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</si>
  <si>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</si>
  <si>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</si>
  <si>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</si>
  <si>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</si>
  <si>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</si>
  <si>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</si>
  <si>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</si>
  <si>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</si>
  <si>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</si>
  <si>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</si>
  <si>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</si>
  <si>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</si>
  <si>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</si>
  <si>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</si>
  <si>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</si>
  <si>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</si>
  <si>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</si>
  <si>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</si>
  <si>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</si>
  <si>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</si>
  <si>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</si>
  <si>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</si>
  <si>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</si>
  <si>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</si>
  <si>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</si>
  <si>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</si>
  <si>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</si>
  <si>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</si>
  <si>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</si>
  <si>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</si>
  <si>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</si>
  <si>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</si>
  <si>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</si>
  <si>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</si>
  <si>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</si>
  <si>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</si>
  <si>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</si>
  <si>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</si>
  <si>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</si>
  <si>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</si>
  <si>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</si>
  <si>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</si>
  <si>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</si>
  <si>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</si>
  <si>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</si>
  <si>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</si>
  <si>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</si>
  <si>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</si>
  <si>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</si>
  <si>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</si>
  <si>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</si>
  <si>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</si>
  <si>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</si>
  <si>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</si>
  <si>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</si>
  <si>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</si>
  <si>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</si>
  <si>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</si>
  <si>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</si>
  <si>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</si>
  <si>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</si>
  <si>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</si>
  <si>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</si>
  <si>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</si>
  <si>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</si>
  <si>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</si>
  <si>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</si>
  <si>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</si>
  <si>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</si>
  <si>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</si>
  <si>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</si>
  <si>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</si>
  <si>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</si>
  <si>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</si>
  <si>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</si>
  <si>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</si>
  <si>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</si>
  <si>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</si>
  <si>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</si>
  <si>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</si>
  <si>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</si>
  <si>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</si>
  <si>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</si>
  <si>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</si>
  <si>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</si>
  <si>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</si>
  <si>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</si>
  <si>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</si>
  <si>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</si>
  <si>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</si>
  <si>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</si>
  <si>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</si>
  <si>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</si>
  <si>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</si>
  <si>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</si>
  <si>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</si>
  <si>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</si>
  <si>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</si>
  <si>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</si>
  <si>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</si>
  <si>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</si>
  <si>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</si>
  <si>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</si>
  <si>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</si>
  <si>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</si>
  <si>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</si>
  <si>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</si>
  <si>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</si>
  <si>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</si>
  <si>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</si>
  <si>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</si>
  <si>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</si>
  <si>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</si>
  <si>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</si>
  <si>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</si>
  <si>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</si>
  <si>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</si>
  <si>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</si>
  <si>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</si>
  <si>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</si>
  <si>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</si>
  <si>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</si>
  <si>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</si>
  <si>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</si>
  <si>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</si>
  <si>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</si>
  <si>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</si>
  <si>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</si>
  <si>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</si>
  <si>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</si>
  <si>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</si>
  <si>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</si>
  <si>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</si>
  <si>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</si>
  <si>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</si>
  <si>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</si>
  <si>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</si>
  <si>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</si>
  <si>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</si>
  <si>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</si>
  <si>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</si>
  <si>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</si>
  <si>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</si>
  <si>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</si>
  <si>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</si>
  <si>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</si>
  <si>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</si>
  <si>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</si>
  <si>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</si>
  <si>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</si>
  <si>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</si>
  <si>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</si>
  <si>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</si>
  <si>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</si>
  <si>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</si>
  <si>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</si>
  <si>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</si>
  <si>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</si>
  <si>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</si>
  <si>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</si>
  <si>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</si>
  <si>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</si>
  <si>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</si>
  <si>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</si>
  <si>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</si>
  <si>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</si>
  <si>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</si>
  <si>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</si>
  <si>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</si>
  <si>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</si>
  <si>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</si>
  <si>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</si>
  <si>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</si>
  <si>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</si>
  <si>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</si>
  <si>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</si>
  <si>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</si>
  <si>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</si>
  <si>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</si>
  <si>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</si>
  <si>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</si>
  <si>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</si>
  <si>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</si>
  <si>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</si>
  <si>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</si>
  <si>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</si>
  <si>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</si>
  <si>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</si>
  <si>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</si>
  <si>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</si>
  <si>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</si>
  <si>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</si>
  <si>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</si>
  <si>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</si>
  <si>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</si>
  <si>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</si>
  <si>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</si>
  <si>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</si>
  <si>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</si>
  <si>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</si>
  <si>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</si>
  <si>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</si>
  <si>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</si>
  <si>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</si>
  <si>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</si>
  <si>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</si>
  <si>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</si>
  <si>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</si>
  <si>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</si>
  <si>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</si>
  <si>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</si>
  <si>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</si>
  <si>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</si>
  <si>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</si>
  <si>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</si>
  <si>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</si>
  <si>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</si>
  <si>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</si>
  <si>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</si>
  <si>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</si>
  <si>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</si>
  <si>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</si>
  <si>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</si>
  <si>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</si>
  <si>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</si>
  <si>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</si>
  <si>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</si>
  <si>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</si>
  <si>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</si>
  <si>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</si>
  <si>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</si>
  <si>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</si>
  <si>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</si>
  <si>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</si>
  <si>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</si>
  <si>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</si>
  <si>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</si>
  <si>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</si>
  <si>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</si>
  <si>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</si>
  <si>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</si>
  <si>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</si>
  <si>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</si>
  <si>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</si>
  <si>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</si>
  <si>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</si>
  <si>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</si>
  <si>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</si>
  <si>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</si>
  <si>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</si>
  <si>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</si>
  <si>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</si>
  <si>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</si>
  <si>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</si>
  <si>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</si>
  <si>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</si>
  <si>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</si>
  <si>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</si>
  <si>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</si>
  <si>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</si>
  <si>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</si>
  <si>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</si>
  <si>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</si>
  <si>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</si>
  <si>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</si>
  <si>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</si>
  <si>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</si>
  <si>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</si>
  <si>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</si>
  <si>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</si>
  <si>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</si>
  <si>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</si>
  <si>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</si>
  <si>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</si>
  <si>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</si>
  <si>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</si>
  <si>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</si>
  <si>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</si>
  <si>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</si>
  <si>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</si>
  <si>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</si>
  <si>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</si>
  <si>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</si>
  <si>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</si>
  <si>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</si>
  <si>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</si>
  <si>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</si>
  <si>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</si>
  <si>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</si>
  <si>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</si>
  <si>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</si>
  <si>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</si>
  <si>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</si>
  <si>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</si>
  <si>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</si>
  <si>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</si>
  <si>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</si>
  <si>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</si>
  <si>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</si>
  <si>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</si>
  <si>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</si>
  <si>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</si>
  <si>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</si>
  <si>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</si>
  <si>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</si>
  <si>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</si>
  <si>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</si>
  <si>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</si>
  <si>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</si>
  <si>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</si>
  <si>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</si>
  <si>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</si>
  <si>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</si>
  <si>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</si>
  <si>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</si>
  <si>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</si>
  <si>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</si>
  <si>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</si>
  <si>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</si>
  <si>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</si>
  <si>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</si>
  <si>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</si>
  <si>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</si>
  <si>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</si>
  <si>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</si>
  <si>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</si>
  <si>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</si>
  <si>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</si>
  <si>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</si>
  <si>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</si>
  <si>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</si>
  <si>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</si>
  <si>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</si>
  <si>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</si>
  <si>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</si>
  <si>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</si>
  <si>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</si>
  <si>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</si>
  <si>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</si>
  <si>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</si>
  <si>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</si>
  <si>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</si>
  <si>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</si>
  <si>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</si>
  <si>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</si>
  <si>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</si>
  <si>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</si>
  <si>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</si>
  <si>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</si>
  <si>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</si>
  <si>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</si>
  <si>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</si>
  <si>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</si>
  <si>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</si>
  <si>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</si>
  <si>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</si>
  <si>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</si>
  <si>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</si>
  <si>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</si>
  <si>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</si>
  <si>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</si>
  <si>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</si>
  <si>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</si>
  <si>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</si>
  <si>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</si>
  <si>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</si>
  <si>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</si>
  <si>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</si>
  <si>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</si>
  <si>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</si>
  <si>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</si>
  <si>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</si>
  <si>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</si>
  <si>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</si>
  <si>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</si>
  <si>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</si>
  <si>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</si>
  <si>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</si>
  <si>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</si>
  <si>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</si>
  <si>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</si>
  <si>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</si>
  <si>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</si>
  <si>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</si>
  <si>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</si>
  <si>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</si>
  <si>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</si>
  <si>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</si>
  <si>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</si>
  <si>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</si>
  <si>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</si>
  <si>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</si>
  <si>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</si>
  <si>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</si>
  <si>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</si>
  <si>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</si>
  <si>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</si>
  <si>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</si>
  <si>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</si>
  <si>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</si>
  <si>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</si>
  <si>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</si>
  <si>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</si>
  <si>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</si>
  <si>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</si>
  <si>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</si>
  <si>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</si>
  <si>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</si>
  <si>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</si>
  <si>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</si>
  <si>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</si>
  <si>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</si>
  <si>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</si>
  <si>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</si>
  <si>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</si>
  <si>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</si>
  <si>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</si>
  <si>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</si>
  <si>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</si>
  <si>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</si>
  <si>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</si>
  <si>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</si>
  <si>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</si>
  <si>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</si>
  <si>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</si>
  <si>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</si>
  <si>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</si>
  <si>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</si>
  <si>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</si>
  <si>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</si>
  <si>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</si>
  <si>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</si>
  <si>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</si>
  <si>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</si>
  <si>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</si>
  <si>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</si>
  <si>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</si>
  <si>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</si>
  <si>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</si>
  <si>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</si>
  <si>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</si>
  <si>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</si>
  <si>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</si>
  <si>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</si>
  <si>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</si>
  <si>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</si>
  <si>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</si>
  <si>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</si>
  <si>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</si>
  <si>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</si>
  <si>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</si>
  <si>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</si>
  <si>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</si>
  <si>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</si>
  <si>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</si>
  <si>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</si>
  <si>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</si>
  <si>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</si>
  <si>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</si>
  <si>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</si>
  <si>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</si>
  <si>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</si>
  <si>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</si>
  <si>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</si>
  <si>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</si>
  <si>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</si>
  <si>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</si>
  <si>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</si>
  <si>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</si>
  <si>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</si>
  <si>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</si>
  <si>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</si>
  <si>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</si>
  <si>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</si>
  <si>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</si>
  <si>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</si>
  <si>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</si>
  <si>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</si>
  <si>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</si>
  <si>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</si>
  <si>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</si>
  <si>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</si>
  <si>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</si>
  <si>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</si>
  <si>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</si>
  <si>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</si>
  <si>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</si>
  <si>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</si>
  <si>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</si>
  <si>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</si>
  <si>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</si>
  <si>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</si>
  <si>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</si>
  <si>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</si>
  <si>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</si>
  <si>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</si>
  <si>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</si>
  <si>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</si>
  <si>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</si>
  <si>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</si>
  <si>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</si>
  <si>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</si>
  <si>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</si>
  <si>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</si>
  <si>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</si>
  <si>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</si>
  <si>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</si>
  <si>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</si>
  <si>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</si>
  <si>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</si>
  <si>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</si>
  <si>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</si>
  <si>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</si>
  <si>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</si>
  <si>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</si>
  <si>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</si>
  <si>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</si>
  <si>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</si>
  <si>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</si>
  <si>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</si>
  <si>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</si>
  <si>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</si>
  <si>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</si>
  <si>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</si>
  <si>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</si>
  <si>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</si>
  <si>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</si>
  <si>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</si>
  <si>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</si>
  <si>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</si>
  <si>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</si>
  <si>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</si>
  <si>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</si>
  <si>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</si>
  <si>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</si>
  <si>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</si>
  <si>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</si>
  <si>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</si>
  <si>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</si>
  <si>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</si>
  <si>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</si>
  <si>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</si>
  <si>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</si>
  <si>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</si>
  <si>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</si>
  <si>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</si>
  <si>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</si>
  <si>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</si>
  <si>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</si>
  <si>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</si>
  <si>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</si>
  <si>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</si>
  <si>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</si>
  <si>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</si>
  <si>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</si>
  <si>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</si>
  <si>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</si>
  <si>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</si>
  <si>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</si>
  <si>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</si>
  <si>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</si>
  <si>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</si>
  <si>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</si>
  <si>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</si>
  <si>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</si>
  <si>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</si>
  <si>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</si>
  <si>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</si>
  <si>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</si>
  <si>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</si>
  <si>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</si>
  <si>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</si>
  <si>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</si>
  <si>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</si>
  <si>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</si>
  <si>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</si>
  <si>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</si>
  <si>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</si>
  <si>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</si>
  <si>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</si>
  <si>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</si>
  <si>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</si>
  <si>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</si>
  <si>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</si>
  <si>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</si>
  <si>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</si>
  <si>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</si>
  <si>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</si>
  <si>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</si>
  <si>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</si>
  <si>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</si>
  <si>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</si>
  <si>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</si>
  <si>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</si>
  <si>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</si>
  <si>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</si>
  <si>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</si>
  <si>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</si>
  <si>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</si>
  <si>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</si>
  <si>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</si>
  <si>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</si>
  <si>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</si>
  <si>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</si>
  <si>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</si>
  <si>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</si>
  <si>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</si>
  <si>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</si>
  <si>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</si>
  <si>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</si>
  <si>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</si>
  <si>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</si>
  <si>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</si>
  <si>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</si>
  <si>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</si>
  <si>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</si>
  <si>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</si>
  <si>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</si>
  <si>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</si>
  <si>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</si>
  <si>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</si>
  <si>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</si>
  <si>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</si>
  <si>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</si>
  <si>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</si>
  <si>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</si>
  <si>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</si>
  <si>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</si>
  <si>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</si>
  <si>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</si>
  <si>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</si>
  <si>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</si>
  <si>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</si>
  <si>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</si>
  <si>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</si>
  <si>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</si>
  <si>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</si>
  <si>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</si>
  <si>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</si>
  <si>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</si>
  <si>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</si>
  <si>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</si>
  <si>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</si>
  <si>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</si>
  <si>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</si>
  <si>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</si>
  <si>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</si>
  <si>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</si>
  <si>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</si>
  <si>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</si>
  <si>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</si>
  <si>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</si>
  <si>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</si>
  <si>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</si>
  <si>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</si>
  <si>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</si>
  <si>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</si>
  <si>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</si>
  <si>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</si>
  <si>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</si>
  <si>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</si>
  <si>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</si>
  <si>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</si>
  <si>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</si>
  <si>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</si>
  <si>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</si>
  <si>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</si>
  <si>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</si>
  <si>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</si>
  <si>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</si>
  <si>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</si>
  <si>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</si>
  <si>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</si>
  <si>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</si>
  <si>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</si>
  <si>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</si>
  <si>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</si>
  <si>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</si>
  <si>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</si>
  <si>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</si>
  <si>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</si>
  <si>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</si>
  <si>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</si>
  <si>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</si>
  <si>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</si>
  <si>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</si>
  <si>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</si>
  <si>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</si>
  <si>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</si>
  <si>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</si>
  <si>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</si>
  <si>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</si>
  <si>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</si>
  <si>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</si>
  <si>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</si>
  <si>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</si>
  <si>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</si>
  <si>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</si>
  <si>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</si>
  <si>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</si>
  <si>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</si>
  <si>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</si>
  <si>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</si>
  <si>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</si>
  <si>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</si>
  <si>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</si>
  <si>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</si>
  <si>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</si>
  <si>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</si>
  <si>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</si>
  <si>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</si>
  <si>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</si>
  <si>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</si>
  <si>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</si>
  <si>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</si>
  <si>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</si>
  <si>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</si>
  <si>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</si>
  <si>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</si>
  <si>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</si>
  <si>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</si>
  <si>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</si>
  <si>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</si>
  <si>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</si>
  <si>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</si>
  <si>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</si>
  <si>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</si>
  <si>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</si>
  <si>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</si>
  <si>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</si>
  <si>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</si>
  <si>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</si>
  <si>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</si>
  <si>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</si>
  <si>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</si>
  <si>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</si>
  <si>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</si>
  <si>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</si>
  <si>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</si>
  <si>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</si>
  <si>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</si>
  <si>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</si>
  <si>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</si>
  <si>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</si>
  <si>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</si>
  <si>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</si>
  <si>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</si>
  <si>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</si>
  <si>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</si>
  <si>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</si>
  <si>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</si>
  <si>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</si>
  <si>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</si>
  <si>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</si>
  <si>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</si>
  <si>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</si>
  <si>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</si>
  <si>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</si>
  <si>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</si>
  <si>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</si>
  <si>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</si>
  <si>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</si>
  <si>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</si>
  <si>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</si>
  <si>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</si>
  <si>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</si>
  <si>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</si>
  <si>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</si>
  <si>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</si>
  <si>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</si>
  <si>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</si>
  <si>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</si>
  <si>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</si>
  <si>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</si>
  <si>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</si>
  <si>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</si>
  <si>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</si>
  <si>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</si>
  <si>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</si>
  <si>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</si>
  <si>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</si>
  <si>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</si>
  <si>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</si>
  <si>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</si>
  <si>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</si>
  <si>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</si>
  <si>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</si>
  <si>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</si>
  <si>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</si>
  <si>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</si>
  <si>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</si>
  <si>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</si>
  <si>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</si>
  <si>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</si>
  <si>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</si>
  <si>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</si>
  <si>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</si>
  <si>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</si>
  <si>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</si>
  <si>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</si>
  <si>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</si>
  <si>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</si>
  <si>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</si>
  <si>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</si>
  <si>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</si>
  <si>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</si>
  <si>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</si>
  <si>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</si>
  <si>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</si>
  <si>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</si>
  <si>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</si>
  <si>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</si>
  <si>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</si>
  <si>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</si>
  <si>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</si>
  <si>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</si>
  <si>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</si>
  <si>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</si>
  <si>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</si>
  <si>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</si>
  <si>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</si>
  <si>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</si>
  <si>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</si>
  <si>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</si>
  <si>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</si>
  <si>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</si>
  <si>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</si>
  <si>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</si>
  <si>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</si>
  <si>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</si>
  <si>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</si>
  <si>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</si>
  <si>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</si>
  <si>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</si>
  <si>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</si>
  <si>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</si>
  <si>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</si>
  <si>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</si>
  <si>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</si>
  <si>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</si>
  <si>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</si>
  <si>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</si>
  <si>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</si>
  <si>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</si>
  <si>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</si>
  <si>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</si>
  <si>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</si>
  <si>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</si>
  <si>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</si>
  <si>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</si>
  <si>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</si>
  <si>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</si>
  <si>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</si>
  <si>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</si>
  <si>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</si>
  <si>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</si>
  <si>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</si>
  <si>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</si>
  <si>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</si>
  <si>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</si>
  <si>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</si>
  <si>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</si>
  <si>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</si>
  <si>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</si>
  <si>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</si>
  <si>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</si>
  <si>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</si>
  <si>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</si>
  <si>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</si>
  <si>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</si>
  <si>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</si>
  <si>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</si>
  <si>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</si>
  <si>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</si>
  <si>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</si>
  <si>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</si>
  <si>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</si>
  <si>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</si>
  <si>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</si>
  <si>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</si>
  <si>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</si>
  <si>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</si>
  <si>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</si>
  <si>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</si>
  <si>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</si>
  <si>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</si>
  <si>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</si>
  <si>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</si>
  <si>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</si>
  <si>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</si>
  <si>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</si>
  <si>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</si>
  <si>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</si>
  <si>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</si>
  <si>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</si>
  <si>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</si>
  <si>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</si>
  <si>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</si>
  <si>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</si>
  <si>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</si>
  <si>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</si>
  <si>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</si>
  <si>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</si>
  <si>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</si>
  <si>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</si>
  <si>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</si>
  <si>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</si>
  <si>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</si>
  <si>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</si>
  <si>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</si>
  <si>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</si>
  <si>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</si>
  <si>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</si>
  <si>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</si>
  <si>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</si>
  <si>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</si>
  <si>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</si>
  <si>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</si>
  <si>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</si>
  <si>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</si>
  <si>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</si>
  <si>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</si>
  <si>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</si>
  <si>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</si>
  <si>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</si>
  <si>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</si>
  <si>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</si>
  <si>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</si>
  <si>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</si>
  <si>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</si>
  <si>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</si>
  <si>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</si>
  <si>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</si>
  <si>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</si>
  <si>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</si>
  <si>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</si>
  <si>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</si>
  <si>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</si>
  <si>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</si>
  <si>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</si>
  <si>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</si>
  <si>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</si>
  <si>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</si>
  <si>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</si>
  <si>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</si>
  <si>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</si>
  <si>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</si>
  <si>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</si>
  <si>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</si>
  <si>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</si>
  <si>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</si>
  <si>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</si>
  <si>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</si>
  <si>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</si>
  <si>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</si>
  <si>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</si>
  <si>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</si>
  <si>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</si>
  <si>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</si>
  <si>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</si>
  <si>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</si>
  <si>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</si>
  <si>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</si>
  <si>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</si>
  <si>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</si>
  <si>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</si>
  <si>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</si>
  <si>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</si>
  <si>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</si>
  <si>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</si>
  <si>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</si>
  <si>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</si>
  <si>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</si>
  <si>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</si>
  <si>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</si>
  <si>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</si>
  <si>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</si>
  <si>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</si>
  <si>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</si>
  <si>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</si>
  <si>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</si>
  <si>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</si>
  <si>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</si>
  <si>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</si>
  <si>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</si>
  <si>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</si>
  <si>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</si>
  <si>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</si>
  <si>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</si>
  <si>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</si>
  <si>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</si>
  <si>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</si>
  <si>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</si>
  <si>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</si>
  <si>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</si>
  <si>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</si>
  <si>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</si>
  <si>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</si>
  <si>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</si>
  <si>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</si>
  <si>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</si>
  <si>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</si>
  <si>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</si>
  <si>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</si>
  <si>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</si>
  <si>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</si>
  <si>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</si>
  <si>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</si>
  <si>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</si>
  <si>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</si>
  <si>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</si>
  <si>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</si>
  <si>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</si>
  <si>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</si>
  <si>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</si>
  <si>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</si>
  <si>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</si>
  <si>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</si>
  <si>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</si>
  <si>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</si>
  <si>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</si>
  <si>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</si>
  <si>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</si>
  <si>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</si>
  <si>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</si>
  <si>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</si>
  <si>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</si>
  <si>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</si>
  <si>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</si>
  <si>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</si>
  <si>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</si>
  <si>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</si>
  <si>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</si>
  <si>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</si>
  <si>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</si>
  <si>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</si>
  <si>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</si>
  <si>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</si>
  <si>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</si>
  <si>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</si>
  <si>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</si>
  <si>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</si>
  <si>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</si>
  <si>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</si>
  <si>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</si>
  <si>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</si>
  <si>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</si>
  <si>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</si>
  <si>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</si>
  <si>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</si>
  <si>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</si>
  <si>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</si>
  <si>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</si>
  <si>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</si>
  <si>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</si>
  <si>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</si>
  <si>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</si>
  <si>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</si>
  <si>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</si>
  <si>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</si>
  <si>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</si>
  <si>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</si>
  <si>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</si>
  <si>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</si>
  <si>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</si>
  <si>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</si>
  <si>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</si>
  <si>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</si>
  <si>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</si>
  <si>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</si>
  <si>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</si>
  <si>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</si>
  <si>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</si>
  <si>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</si>
  <si>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</si>
  <si>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</si>
  <si>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</si>
  <si>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</si>
  <si>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</si>
  <si>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</si>
  <si>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</si>
  <si>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</si>
  <si>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</si>
  <si>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</si>
  <si>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</si>
  <si>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</si>
  <si>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</si>
  <si>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</si>
  <si>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</si>
  <si>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</si>
  <si>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</si>
  <si>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</si>
  <si>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</si>
  <si>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</si>
  <si>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</si>
  <si>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</si>
  <si>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</si>
  <si>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</si>
  <si>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</si>
  <si>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</si>
  <si>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</si>
  <si>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</si>
  <si>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</si>
  <si>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</si>
  <si>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</si>
  <si>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</si>
  <si>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</si>
  <si>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</si>
  <si>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</si>
  <si>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</si>
  <si>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</si>
  <si>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</si>
  <si>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</si>
  <si>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</si>
  <si>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</si>
  <si>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</si>
  <si>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</si>
  <si>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</si>
  <si>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</si>
  <si>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</si>
  <si>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</si>
  <si>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</si>
  <si>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</si>
  <si>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</si>
  <si>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</si>
  <si>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</si>
  <si>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</si>
  <si>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</si>
  <si>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</si>
  <si>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</si>
  <si>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</si>
  <si>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</si>
  <si>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</si>
  <si>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</si>
  <si>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</si>
  <si>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</si>
  <si>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</si>
  <si>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</si>
  <si>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</si>
  <si>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</si>
  <si>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</si>
  <si>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</si>
  <si>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</si>
  <si>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</si>
  <si>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</si>
  <si>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</si>
  <si>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</si>
  <si>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</si>
  <si>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</si>
  <si>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</si>
  <si>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</si>
  <si>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</si>
  <si>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</si>
  <si>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</si>
  <si>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</si>
  <si>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</si>
  <si>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</si>
  <si>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</si>
  <si>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</si>
  <si>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</si>
  <si>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</si>
  <si>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</si>
  <si>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</si>
  <si>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</si>
  <si>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</si>
  <si>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</si>
  <si>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</si>
  <si>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</si>
  <si>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</si>
  <si>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</si>
  <si>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</si>
  <si>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</si>
  <si>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</si>
  <si>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</si>
  <si>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</si>
  <si>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</si>
  <si>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</si>
  <si>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</si>
  <si>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</si>
  <si>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</si>
  <si>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</si>
  <si>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</si>
  <si>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</si>
  <si>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</si>
  <si>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</si>
  <si>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</si>
  <si>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</si>
  <si>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</si>
  <si>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</si>
  <si>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</si>
  <si>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</si>
  <si>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</si>
  <si>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</si>
  <si>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</si>
  <si>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</si>
  <si>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</si>
  <si>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</si>
  <si>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</si>
  <si>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</si>
  <si>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</si>
  <si>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</si>
  <si>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</si>
  <si>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</si>
  <si>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</si>
  <si>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</si>
  <si>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</si>
  <si>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</si>
  <si>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</si>
  <si>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</si>
  <si>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</si>
  <si>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</si>
  <si>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</si>
  <si>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</si>
  <si>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</si>
  <si>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</si>
  <si>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</si>
  <si>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</si>
  <si>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</si>
  <si>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</si>
  <si>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</si>
  <si>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</si>
  <si>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</si>
  <si>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</si>
  <si>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</si>
  <si>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</si>
  <si>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</si>
  <si>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</si>
  <si>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</si>
  <si>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</si>
  <si>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</si>
  <si>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</si>
  <si>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</si>
  <si>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</si>
  <si>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</si>
  <si>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</si>
  <si>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</si>
  <si>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</si>
  <si>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</si>
  <si>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</si>
  <si>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</si>
  <si>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</si>
  <si>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</si>
  <si>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</si>
  <si>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</si>
  <si>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</si>
  <si>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</si>
  <si>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</si>
  <si>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</si>
  <si>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</si>
  <si>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</si>
  <si>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</si>
  <si>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</si>
  <si>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</si>
  <si>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</si>
  <si>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</si>
  <si>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</si>
  <si>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</si>
  <si>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</si>
  <si>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</si>
  <si>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</si>
  <si>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</si>
  <si>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</si>
  <si>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</si>
  <si>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</si>
  <si>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</si>
  <si>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</si>
  <si>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</si>
  <si>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</si>
  <si>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</si>
  <si>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</si>
  <si>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</si>
  <si>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</si>
  <si>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</si>
  <si>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</si>
  <si>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</si>
  <si>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</si>
  <si>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</si>
  <si>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</si>
  <si>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</si>
  <si>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</si>
  <si>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</si>
  <si>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</si>
  <si>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</si>
  <si>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</si>
  <si>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</si>
  <si>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</si>
  <si>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</si>
  <si>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</si>
  <si>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</si>
  <si>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</si>
  <si>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</si>
  <si>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</si>
  <si>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</si>
  <si>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</si>
  <si>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</si>
  <si>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</si>
  <si>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</si>
  <si>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</si>
  <si>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</si>
  <si>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</si>
  <si>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</si>
  <si>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</si>
  <si>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</si>
  <si>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</si>
  <si>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</si>
  <si>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</si>
  <si>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</si>
  <si>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</si>
  <si>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</si>
  <si>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</si>
  <si>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</si>
  <si>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</si>
  <si>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</si>
  <si>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</si>
  <si>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</si>
  <si>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</si>
  <si>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</si>
  <si>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</si>
  <si>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</si>
  <si>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</si>
  <si>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</si>
  <si>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</si>
  <si>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</si>
  <si>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</si>
  <si>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</si>
  <si>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</si>
  <si>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</si>
  <si>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</si>
  <si>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</si>
  <si>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</si>
  <si>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</si>
  <si>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</si>
  <si>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</si>
  <si>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</si>
  <si>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</si>
  <si>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</si>
  <si>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</si>
  <si>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</si>
  <si>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</si>
  <si>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</si>
  <si>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</si>
  <si>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</si>
  <si>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</si>
  <si>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</si>
  <si>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</si>
  <si>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</si>
  <si>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</si>
  <si>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</si>
  <si>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</si>
  <si>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</si>
  <si>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</si>
  <si>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</si>
  <si>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</si>
  <si>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</si>
  <si>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</si>
  <si>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</si>
  <si>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</si>
  <si>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</si>
  <si>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</si>
  <si>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</si>
  <si>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</si>
  <si>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</si>
  <si>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</si>
  <si>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</si>
  <si>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</si>
  <si>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</si>
  <si>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</si>
  <si>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</si>
  <si>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</si>
  <si>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</si>
  <si>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</si>
  <si>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</si>
  <si>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</si>
  <si>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</si>
  <si>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</si>
  <si>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</si>
  <si>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</si>
  <si>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</si>
  <si>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</si>
  <si>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</si>
  <si>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</si>
  <si>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</si>
  <si>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</si>
  <si>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</si>
  <si>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</si>
  <si>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</si>
  <si>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</si>
  <si>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</si>
  <si>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</si>
  <si>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</si>
  <si>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</si>
  <si>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</si>
  <si>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</si>
  <si>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</si>
  <si>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</si>
  <si>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</si>
  <si>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</si>
  <si>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</si>
  <si>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</si>
  <si>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</si>
  <si>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</si>
  <si>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</si>
  <si>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</si>
  <si>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</si>
  <si>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</si>
  <si>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</si>
  <si>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</si>
  <si>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</si>
  <si>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</si>
  <si>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</si>
  <si>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</si>
  <si>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</si>
  <si>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</si>
  <si>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</si>
  <si>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</si>
  <si>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</si>
  <si>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</si>
  <si>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</si>
  <si>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</si>
  <si>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</si>
  <si>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</si>
  <si>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</si>
  <si>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</si>
  <si>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</si>
  <si>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</si>
  <si>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</si>
  <si>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</si>
  <si>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</si>
  <si>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</si>
  <si>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</si>
  <si>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</si>
  <si>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</si>
  <si>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</si>
  <si>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</si>
  <si>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</si>
  <si>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</si>
  <si>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</si>
  <si>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</si>
  <si>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</si>
  <si>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</si>
  <si>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</si>
  <si>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</si>
  <si>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</si>
  <si>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</si>
  <si>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</si>
  <si>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</si>
  <si>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</si>
  <si>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</si>
  <si>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</si>
  <si>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</si>
  <si>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</si>
  <si>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</si>
  <si>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</si>
  <si>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</si>
  <si>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</si>
  <si>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</si>
  <si>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</si>
  <si>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</si>
  <si>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</si>
  <si>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</si>
  <si>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</si>
  <si>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</si>
  <si>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</si>
  <si>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</si>
  <si>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</si>
  <si>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</si>
  <si>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</si>
  <si>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</si>
  <si>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</si>
  <si>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</si>
  <si>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</si>
  <si>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</si>
  <si>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</si>
  <si>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</si>
  <si>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</si>
  <si>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</si>
  <si>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</si>
  <si>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</si>
  <si>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</si>
  <si>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</si>
  <si>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</si>
  <si>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</si>
  <si>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</si>
  <si>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</si>
  <si>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</si>
  <si>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</si>
  <si>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</si>
  <si>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</si>
  <si>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</si>
  <si>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</si>
  <si>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</si>
  <si>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</si>
  <si>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</si>
  <si>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</si>
  <si>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</si>
  <si>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</si>
  <si>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</si>
  <si>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</si>
  <si>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</si>
  <si>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</si>
  <si>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</si>
  <si>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</si>
  <si>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</si>
  <si>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</si>
  <si>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</si>
  <si>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</si>
  <si>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</si>
  <si>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</si>
  <si>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</si>
  <si>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</si>
  <si>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</si>
  <si>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</si>
  <si>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</si>
  <si>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</si>
  <si>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</si>
  <si>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</si>
  <si>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</si>
  <si>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</si>
  <si>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</si>
  <si>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</si>
  <si>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</si>
  <si>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</si>
  <si>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</si>
  <si>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</si>
  <si>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</si>
  <si>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</si>
  <si>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</si>
  <si>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</si>
  <si>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</si>
  <si>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</si>
  <si>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</si>
  <si>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</si>
  <si>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</si>
  <si>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</si>
  <si>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</si>
  <si>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</si>
  <si>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</si>
  <si>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</si>
  <si>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</si>
  <si>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</si>
  <si>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</si>
  <si>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</si>
  <si>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</si>
  <si>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</si>
  <si>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</si>
  <si>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</si>
  <si>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</si>
  <si>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</si>
  <si>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</si>
  <si>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</si>
  <si>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</si>
  <si>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</si>
  <si>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</si>
  <si>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</si>
  <si>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</si>
  <si>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</si>
  <si>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</si>
  <si>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</si>
  <si>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</si>
  <si>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</si>
  <si>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</si>
  <si>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</si>
  <si>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</si>
  <si>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</si>
  <si>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</si>
  <si>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</si>
  <si>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</si>
  <si>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</si>
  <si>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</si>
  <si>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</si>
  <si>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</si>
  <si>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</si>
  <si>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</si>
  <si>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</si>
  <si>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</si>
  <si>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</si>
  <si>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</si>
  <si>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</si>
  <si>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</si>
  <si>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</si>
  <si>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</si>
  <si>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</si>
  <si>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</si>
  <si>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</si>
  <si>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</si>
  <si>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</si>
  <si>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</si>
  <si>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</si>
  <si>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</si>
  <si>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</si>
  <si>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</si>
  <si>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</si>
  <si>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</si>
  <si>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</si>
  <si>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</si>
  <si>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</si>
  <si>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</si>
  <si>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</si>
  <si>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</si>
  <si>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</si>
  <si>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</si>
  <si>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</si>
  <si>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</si>
  <si>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</si>
  <si>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</si>
  <si>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</si>
  <si>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</si>
  <si>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</si>
  <si>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</si>
  <si>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</si>
  <si>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</si>
  <si>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</si>
  <si>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</si>
  <si>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</si>
  <si>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</si>
  <si>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</si>
  <si>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</si>
  <si>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</si>
  <si>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</si>
  <si>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</si>
  <si>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</si>
  <si>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</si>
  <si>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</si>
  <si>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</si>
  <si>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</si>
  <si>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</si>
  <si>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</si>
  <si>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</si>
  <si>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</si>
  <si>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</si>
  <si>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</si>
  <si>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</si>
  <si>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</si>
  <si>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</si>
  <si>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</si>
  <si>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</si>
  <si>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</si>
  <si>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</si>
  <si>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</si>
  <si>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</si>
  <si>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</si>
  <si>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</si>
  <si>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</si>
  <si>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</si>
  <si>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</si>
  <si>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</si>
  <si>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</si>
  <si>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</si>
  <si>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</si>
  <si>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</si>
  <si>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</si>
  <si>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</si>
  <si>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</si>
  <si>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</si>
  <si>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</si>
  <si>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</si>
  <si>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</si>
  <si>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</si>
  <si>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</si>
  <si>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</si>
  <si>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</si>
  <si>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</si>
  <si>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</si>
  <si>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</si>
  <si>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</si>
  <si>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</si>
  <si>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</si>
  <si>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</si>
  <si>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</si>
  <si>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</si>
  <si>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</si>
  <si>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</si>
  <si>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</si>
  <si>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</si>
  <si>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</si>
  <si>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</si>
  <si>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</si>
  <si>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</si>
  <si>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</si>
  <si>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</si>
  <si>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</si>
  <si>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</si>
  <si>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</si>
  <si>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</si>
  <si>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</si>
  <si>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</si>
  <si>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</si>
  <si>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</si>
  <si>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</si>
  <si>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</si>
  <si>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</si>
  <si>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</si>
  <si>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</si>
  <si>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</si>
  <si>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</si>
  <si>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</si>
  <si>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</si>
  <si>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</si>
  <si>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</si>
  <si>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</si>
  <si>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</si>
  <si>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</si>
  <si>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</si>
  <si>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</si>
  <si>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</si>
  <si>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</si>
  <si>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</si>
  <si>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</si>
  <si>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</si>
  <si>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</si>
  <si>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</si>
  <si>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</si>
  <si>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</si>
  <si>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</si>
  <si>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</si>
  <si>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</si>
  <si>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</si>
  <si>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</si>
  <si>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</si>
  <si>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</si>
  <si>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</si>
  <si>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</si>
  <si>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</si>
  <si>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</si>
  <si>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</si>
  <si>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</si>
  <si>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</si>
  <si>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</si>
  <si>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</si>
  <si>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</si>
  <si>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</si>
  <si>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</si>
  <si>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</si>
  <si>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</si>
  <si>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</si>
  <si>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</si>
  <si>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</si>
  <si>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</si>
  <si>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</si>
  <si>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</si>
  <si>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</si>
  <si>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</si>
  <si>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</si>
  <si>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</si>
  <si>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</si>
  <si>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</si>
  <si>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</si>
  <si>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</si>
  <si>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</si>
  <si>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</si>
  <si>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</si>
  <si>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</si>
  <si>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</si>
  <si>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</si>
  <si>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</si>
  <si>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</si>
  <si>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</si>
  <si>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</si>
  <si>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</si>
  <si>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</si>
  <si>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</si>
  <si>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</si>
  <si>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</si>
  <si>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</si>
  <si>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</si>
  <si>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</si>
  <si>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</si>
  <si>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</si>
  <si>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</si>
  <si>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</si>
  <si>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</si>
  <si>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</si>
  <si>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</si>
  <si>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</si>
  <si>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</si>
  <si>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</si>
  <si>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</si>
  <si>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</si>
  <si>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</si>
  <si>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</si>
  <si>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</si>
  <si>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</si>
  <si>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</si>
  <si>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</si>
  <si>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</si>
  <si>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</si>
  <si>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</si>
  <si>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</si>
  <si>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</si>
  <si>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</si>
  <si>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</si>
  <si>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</si>
  <si>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</si>
  <si>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</si>
  <si>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</si>
  <si>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</si>
  <si>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</si>
  <si>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</si>
  <si>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</si>
  <si>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</si>
  <si>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</si>
  <si>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</si>
  <si>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</si>
  <si>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</si>
  <si>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</si>
  <si>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</si>
  <si>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</si>
  <si>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</si>
  <si>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</si>
  <si>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</si>
  <si>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</si>
  <si>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</si>
  <si>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</si>
  <si>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</si>
  <si>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</si>
  <si>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</si>
  <si>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</si>
  <si>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</si>
  <si>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</si>
  <si>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</si>
  <si>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</si>
  <si>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</si>
  <si>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</si>
  <si>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</si>
  <si>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</si>
  <si>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</si>
  <si>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</si>
  <si>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</si>
  <si>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</si>
  <si>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</si>
  <si>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</si>
  <si>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</si>
  <si>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</si>
  <si>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</si>
  <si>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</si>
  <si>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</si>
  <si>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</si>
  <si>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</si>
  <si>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</si>
  <si>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</si>
  <si>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</si>
  <si>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</si>
  <si>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</si>
  <si>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</si>
  <si>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</si>
  <si>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</si>
  <si>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</si>
  <si>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</si>
  <si>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</si>
  <si>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</si>
  <si>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</si>
  <si>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</si>
  <si>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</si>
  <si>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</si>
  <si>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</si>
  <si>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</si>
  <si>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</si>
  <si>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</si>
  <si>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</si>
  <si>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</si>
  <si>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</si>
  <si>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</si>
  <si>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</si>
  <si>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</si>
  <si>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</si>
  <si>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</si>
  <si>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</si>
  <si>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</si>
  <si>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</si>
  <si>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</si>
  <si>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</si>
  <si>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</si>
  <si>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</si>
  <si>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</si>
  <si>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</si>
  <si>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</si>
  <si>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</si>
  <si>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</si>
  <si>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</si>
  <si>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</si>
  <si>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</si>
  <si>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</si>
  <si>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</si>
  <si>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</si>
  <si>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</si>
  <si>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</si>
  <si>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</si>
  <si>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</si>
  <si>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</si>
  <si>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</si>
  <si>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</si>
  <si>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</si>
  <si>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</si>
  <si>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</si>
  <si>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</si>
  <si>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</si>
  <si>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</si>
  <si>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</si>
  <si>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</si>
  <si>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</si>
  <si>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</si>
  <si>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</si>
  <si>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</si>
  <si>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</si>
  <si>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</si>
  <si>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</si>
  <si>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</si>
  <si>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</si>
  <si>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</si>
  <si>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</si>
  <si>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</si>
  <si>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</si>
  <si>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</si>
  <si>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</si>
  <si>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</si>
  <si>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</si>
  <si>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</si>
  <si>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</si>
  <si>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</si>
  <si>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</si>
  <si>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</si>
  <si>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</si>
  <si>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</si>
  <si>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</si>
  <si>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</si>
  <si>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</si>
  <si>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</si>
  <si>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</si>
  <si>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</si>
  <si>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</si>
  <si>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</si>
  <si>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</si>
  <si>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</si>
  <si>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</si>
  <si>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</si>
  <si>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</si>
  <si>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</si>
  <si>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</si>
  <si>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</si>
  <si>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</si>
  <si>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</si>
  <si>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</si>
  <si>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</si>
  <si>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</si>
  <si>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</si>
  <si>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</si>
  <si>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</si>
  <si>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</si>
  <si>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</si>
  <si>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</si>
  <si>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</si>
  <si>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</si>
  <si>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</si>
  <si>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</si>
  <si>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</si>
  <si>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</si>
  <si>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</si>
  <si>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</si>
  <si>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</si>
  <si>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</si>
  <si>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</si>
  <si>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</si>
  <si>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</si>
  <si>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</si>
  <si>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</si>
  <si>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</si>
  <si>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</si>
  <si>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</si>
  <si>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</si>
  <si>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</si>
  <si>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</si>
  <si>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</si>
  <si>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</si>
  <si>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</si>
  <si>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</si>
  <si>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</si>
  <si>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</si>
  <si>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</si>
  <si>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</si>
  <si>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</si>
  <si>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</si>
  <si>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</si>
  <si>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</si>
  <si>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</si>
  <si>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</si>
  <si>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</si>
  <si>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</si>
  <si>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</si>
  <si>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</si>
  <si>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</si>
  <si>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</si>
  <si>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</si>
  <si>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</si>
  <si>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</si>
  <si>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</si>
  <si>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</si>
  <si>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</si>
  <si>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</si>
  <si>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</si>
  <si>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</si>
  <si>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</si>
  <si>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</si>
  <si>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</si>
  <si>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</si>
  <si>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</si>
  <si>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</si>
  <si>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</si>
  <si>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</si>
  <si>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</si>
  <si>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</si>
  <si>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</si>
  <si>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</si>
  <si>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</si>
  <si>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</si>
  <si>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</si>
  <si>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</si>
  <si>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</si>
  <si>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</si>
  <si>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</si>
  <si>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</si>
  <si>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</si>
  <si>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</si>
  <si>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</si>
  <si>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</si>
  <si>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</si>
  <si>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</si>
  <si>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</si>
  <si>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</si>
  <si>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</si>
  <si>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</si>
  <si>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</si>
  <si>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</si>
  <si>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</si>
  <si>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</si>
  <si>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</si>
  <si>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</si>
  <si>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</si>
  <si>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</si>
  <si>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</si>
  <si>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</si>
  <si>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</si>
  <si>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</si>
  <si>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</si>
  <si>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</si>
  <si>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</si>
  <si>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</si>
  <si>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</si>
  <si>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</si>
  <si>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</si>
  <si>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</si>
  <si>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</si>
  <si>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</si>
  <si>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</si>
  <si>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</si>
  <si>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</si>
  <si>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</si>
  <si>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</si>
  <si>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</si>
  <si>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</si>
  <si>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</si>
  <si>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</si>
  <si>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</si>
  <si>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</si>
  <si>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</si>
  <si>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</si>
  <si>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</si>
  <si>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</si>
  <si>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</si>
  <si>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</si>
  <si>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</si>
  <si>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</si>
  <si>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</si>
  <si>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</si>
  <si>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</si>
  <si>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</si>
  <si>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</si>
  <si>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</si>
  <si>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</si>
  <si>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</si>
  <si>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</si>
  <si>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</si>
  <si>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</si>
  <si>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</si>
  <si>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</si>
  <si>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</si>
  <si>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</si>
  <si>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</si>
  <si>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</si>
  <si>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</si>
  <si>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</si>
  <si>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</si>
  <si>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</si>
  <si>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</si>
  <si>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</si>
  <si>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</si>
  <si>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</si>
  <si>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</si>
  <si>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</si>
  <si>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</si>
  <si>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</si>
  <si>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</si>
  <si>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</si>
  <si>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</si>
  <si>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</si>
  <si>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</si>
  <si>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</si>
  <si>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</si>
  <si>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</si>
  <si>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</si>
  <si>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</si>
  <si>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</si>
  <si>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</si>
  <si>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</si>
  <si>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</si>
  <si>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</si>
  <si>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</si>
  <si>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</si>
  <si>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</si>
  <si>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</si>
  <si>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</si>
  <si>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</si>
  <si>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</si>
  <si>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</si>
  <si>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</si>
  <si>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</si>
  <si>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</si>
  <si>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</si>
  <si>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</si>
  <si>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</si>
  <si>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</si>
  <si>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</si>
  <si>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</si>
  <si>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</si>
  <si>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</si>
  <si>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</si>
  <si>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</si>
  <si>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</si>
  <si>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</si>
  <si>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</si>
  <si>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</si>
  <si>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</si>
  <si>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</si>
  <si>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</si>
  <si>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</si>
  <si>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</si>
  <si>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</si>
  <si>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</si>
  <si>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</si>
  <si>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</si>
  <si>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</si>
  <si>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</si>
  <si>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</si>
  <si>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</si>
  <si>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</si>
  <si>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</si>
  <si>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</si>
  <si>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</si>
  <si>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</si>
  <si>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</si>
  <si>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</si>
  <si>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</si>
  <si>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</si>
  <si>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</si>
  <si>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</si>
  <si>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</si>
  <si>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</si>
  <si>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</si>
  <si>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</si>
  <si>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</si>
  <si>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</si>
  <si>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</si>
  <si>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</si>
  <si>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</si>
  <si>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</si>
  <si>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</si>
  <si>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</si>
  <si>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</si>
  <si>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</si>
  <si>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</si>
  <si>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</si>
  <si>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</si>
  <si>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</si>
  <si>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</si>
  <si>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</si>
  <si>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</si>
  <si>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</si>
  <si>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</si>
  <si>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</si>
  <si>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</si>
  <si>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</si>
  <si>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</si>
  <si>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</si>
  <si>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</si>
  <si>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</si>
  <si>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</si>
  <si>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</si>
  <si>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</si>
  <si>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</si>
  <si>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</si>
  <si>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</si>
  <si>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</si>
  <si>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</si>
  <si>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</si>
  <si>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</si>
  <si>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</si>
  <si>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</si>
  <si>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</si>
  <si>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</si>
  <si>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</si>
  <si>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</si>
  <si>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</si>
  <si>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</si>
  <si>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</si>
  <si>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</si>
  <si>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</si>
  <si>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</si>
  <si>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</si>
  <si>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</si>
  <si>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</si>
  <si>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</si>
  <si>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</si>
  <si>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</si>
  <si>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</si>
  <si>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</si>
  <si>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</si>
  <si>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</si>
  <si>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</si>
  <si>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</si>
  <si>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</si>
  <si>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</si>
  <si>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</si>
  <si>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</si>
  <si>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</si>
  <si>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</si>
  <si>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</si>
  <si>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</si>
  <si>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</si>
  <si>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</si>
  <si>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</si>
  <si>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</si>
  <si>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</si>
  <si>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</si>
  <si>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</si>
  <si>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</si>
  <si>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</si>
  <si>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</si>
  <si>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</si>
  <si>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</si>
  <si>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</si>
  <si>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</si>
  <si>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</si>
  <si>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</si>
  <si>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</si>
  <si>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</si>
  <si>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</si>
  <si>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</si>
  <si>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</si>
  <si>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</si>
  <si>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</si>
  <si>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</si>
  <si>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</si>
  <si>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</si>
  <si>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</si>
  <si>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</si>
  <si>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</si>
  <si>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</si>
  <si>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</si>
  <si>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</si>
  <si>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</si>
  <si>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</si>
  <si>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</si>
  <si>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</si>
  <si>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</si>
  <si>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</si>
  <si>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</si>
  <si>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</si>
  <si>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</si>
  <si>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</si>
  <si>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</si>
  <si>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</si>
  <si>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</si>
  <si>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</si>
  <si>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</si>
  <si>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</si>
  <si>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</si>
  <si>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</si>
  <si>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</si>
  <si>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</si>
  <si>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</si>
  <si>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</si>
  <si>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</si>
  <si>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</si>
  <si>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</si>
  <si>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</si>
  <si>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</si>
  <si>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</si>
  <si>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</si>
  <si>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</si>
  <si>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</si>
  <si>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</si>
  <si>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</si>
  <si>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</si>
  <si>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</si>
  <si>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</si>
  <si>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</si>
  <si>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</si>
  <si>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</si>
  <si>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</si>
  <si>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</si>
  <si>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</si>
  <si>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</si>
  <si>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</si>
  <si>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</si>
  <si>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</si>
  <si>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</si>
  <si>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</si>
  <si>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</si>
  <si>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</si>
  <si>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</si>
  <si>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</si>
  <si>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</si>
  <si>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</si>
  <si>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</si>
  <si>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</si>
  <si>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</si>
  <si>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</si>
  <si>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</si>
  <si>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</si>
  <si>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</si>
  <si>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</si>
  <si>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</si>
  <si>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</si>
  <si>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</si>
  <si>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</si>
  <si>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</si>
  <si>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</si>
  <si>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</si>
  <si>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</si>
  <si>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</si>
  <si>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</si>
  <si>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</si>
  <si>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</si>
  <si>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</si>
  <si>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</si>
  <si>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</si>
  <si>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</si>
  <si>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</si>
  <si>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</si>
  <si>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</si>
  <si>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</si>
  <si>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</si>
  <si>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</si>
  <si>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</si>
  <si>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</si>
  <si>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</si>
  <si>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</si>
  <si>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</si>
  <si>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</si>
  <si>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</si>
  <si>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</si>
  <si>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</si>
  <si>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</si>
  <si>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</si>
  <si>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</si>
  <si>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</si>
  <si>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</si>
  <si>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</si>
  <si>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</si>
  <si>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</si>
  <si>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</si>
  <si>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</si>
  <si>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</si>
  <si>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</si>
  <si>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</si>
  <si>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</si>
  <si>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</si>
  <si>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</si>
  <si>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</si>
  <si>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</si>
  <si>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</si>
  <si>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</si>
  <si>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</si>
  <si>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</si>
  <si>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</si>
  <si>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</si>
  <si>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</si>
  <si>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</si>
  <si>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</si>
  <si>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</si>
  <si>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</si>
  <si>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</si>
  <si>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</si>
  <si>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</si>
  <si>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</si>
  <si>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</si>
  <si>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</si>
  <si>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</si>
  <si>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</si>
  <si>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</si>
  <si>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</si>
  <si>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</si>
  <si>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</si>
  <si>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</si>
  <si>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</si>
  <si>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</si>
  <si>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</si>
  <si>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</si>
  <si>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</si>
  <si>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</si>
  <si>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</si>
  <si>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</si>
  <si>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</si>
  <si>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</si>
  <si>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</si>
  <si>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</si>
  <si>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</si>
  <si>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</si>
  <si>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</si>
  <si>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</si>
  <si>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</si>
  <si>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</si>
  <si>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</si>
  <si>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</si>
  <si>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</si>
  <si>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</si>
  <si>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</si>
  <si>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</si>
  <si>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</si>
  <si>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</si>
  <si>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</si>
  <si>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</si>
  <si>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</si>
  <si>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</si>
  <si>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</si>
  <si>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</si>
  <si>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</si>
  <si>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</si>
  <si>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</si>
  <si>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</si>
  <si>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</si>
  <si>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</si>
  <si>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</si>
  <si>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</si>
  <si>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</si>
  <si>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</si>
  <si>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</si>
  <si>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</si>
  <si>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</si>
  <si>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</si>
  <si>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</si>
  <si>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</si>
  <si>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</si>
  <si>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</si>
  <si>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</si>
  <si>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</si>
  <si>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</si>
  <si>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</si>
  <si>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</si>
  <si>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</si>
  <si>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</si>
  <si>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</si>
  <si>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</si>
  <si>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</si>
  <si>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</si>
  <si>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</si>
  <si>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</si>
  <si>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</si>
  <si>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</si>
  <si>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</si>
  <si>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</si>
  <si>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</si>
  <si>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</si>
  <si>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</si>
  <si>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</si>
  <si>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</si>
  <si>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</si>
  <si>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</si>
  <si>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</si>
  <si>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</si>
  <si>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</si>
  <si>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</si>
  <si>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</si>
  <si>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</si>
  <si>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</si>
  <si>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</si>
  <si>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</si>
  <si>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</si>
  <si>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</si>
  <si>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</si>
  <si>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</si>
  <si>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</si>
  <si>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</si>
  <si>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</si>
  <si>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</si>
  <si>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</si>
  <si>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</si>
  <si>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</si>
  <si>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</si>
  <si>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</si>
  <si>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</si>
  <si>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</si>
  <si>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</si>
  <si>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</si>
  <si>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</si>
  <si>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</si>
  <si>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</si>
  <si>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</si>
  <si>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</si>
  <si>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</si>
  <si>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</si>
  <si>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</si>
  <si>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</si>
  <si>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</si>
  <si>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</si>
  <si>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</si>
  <si>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</si>
  <si>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</si>
  <si>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</si>
  <si>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</si>
  <si>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</si>
  <si>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</si>
  <si>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</si>
  <si>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</si>
  <si>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</si>
  <si>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</si>
  <si>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</si>
  <si>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</si>
  <si>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</si>
  <si>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</si>
  <si>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</si>
  <si>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</si>
  <si>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</si>
  <si>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</si>
  <si>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</si>
  <si>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</si>
  <si>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</si>
  <si>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</si>
  <si>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</si>
  <si>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</si>
  <si>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</si>
  <si>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</si>
  <si>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</si>
  <si>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</si>
  <si>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</si>
  <si>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</si>
  <si>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</si>
  <si>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</si>
  <si>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</si>
  <si>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</si>
  <si>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</si>
  <si>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</si>
  <si>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</si>
  <si>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</si>
  <si>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</si>
  <si>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</si>
  <si>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</si>
  <si>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</si>
  <si>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</si>
  <si>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</si>
  <si>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</si>
  <si>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</si>
  <si>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</si>
  <si>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</si>
  <si>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</si>
  <si>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</si>
  <si>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</si>
  <si>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</si>
  <si>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</si>
  <si>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</si>
  <si>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</si>
  <si>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</si>
  <si>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</si>
  <si>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</si>
  <si>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</si>
  <si>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</si>
  <si>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</si>
  <si>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</si>
  <si>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</si>
  <si>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</si>
  <si>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</si>
  <si>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</si>
  <si>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</si>
  <si>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</si>
  <si>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</si>
  <si>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</si>
  <si>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</si>
  <si>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</si>
  <si>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</si>
  <si>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</si>
  <si>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</si>
  <si>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</si>
  <si>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</si>
  <si>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</si>
  <si>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</si>
  <si>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</si>
  <si>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</si>
  <si>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</si>
  <si>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</si>
  <si>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</si>
  <si>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</si>
  <si>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</si>
  <si>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</si>
  <si>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</si>
  <si>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</si>
  <si>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</si>
  <si>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</si>
  <si>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</si>
  <si>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</si>
  <si>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</si>
  <si>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</si>
  <si>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</si>
  <si>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</si>
  <si>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</si>
  <si>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</si>
  <si>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</si>
  <si>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</si>
  <si>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</si>
  <si>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</si>
  <si>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</si>
  <si>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</si>
  <si>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</si>
  <si>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</si>
  <si>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</si>
  <si>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</si>
  <si>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</si>
  <si>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</si>
  <si>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</si>
  <si>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</si>
  <si>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</si>
  <si>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</si>
  <si>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</si>
  <si>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</si>
  <si>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</si>
  <si>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</si>
  <si>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</si>
  <si>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</si>
  <si>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</si>
  <si>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</si>
  <si>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</si>
  <si>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</si>
  <si>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</si>
  <si>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</si>
  <si>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</si>
  <si>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</si>
  <si>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</si>
  <si>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</si>
  <si>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</si>
  <si>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</si>
  <si>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</si>
  <si>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</si>
  <si>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</si>
  <si>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</si>
  <si>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</si>
  <si>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</si>
  <si>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</si>
  <si>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</si>
  <si>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</si>
  <si>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</si>
  <si>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</si>
  <si>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</si>
  <si>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</si>
  <si>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</si>
  <si>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</si>
  <si>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</si>
  <si>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</si>
  <si>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</si>
  <si>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</si>
  <si>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</si>
  <si>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</si>
  <si>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</si>
  <si>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</si>
  <si>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</si>
  <si>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</si>
  <si>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</si>
  <si>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</si>
  <si>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</si>
  <si>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</si>
  <si>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</si>
  <si>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</si>
  <si>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</si>
  <si>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</si>
  <si>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</si>
  <si>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</si>
  <si>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</si>
  <si>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</si>
  <si>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</si>
  <si>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</si>
  <si>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</si>
  <si>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</si>
  <si>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</si>
  <si>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</si>
  <si>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</si>
  <si>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</si>
  <si>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</si>
  <si>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</si>
  <si>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</si>
  <si>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</si>
  <si>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</si>
  <si>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</si>
  <si>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</si>
  <si>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</si>
  <si>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</si>
  <si>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</si>
  <si>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</si>
  <si>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</si>
  <si>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</si>
  <si>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</si>
  <si>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</si>
  <si>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</si>
  <si>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</si>
  <si>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</si>
  <si>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</si>
  <si>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</si>
  <si>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</si>
  <si>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</si>
  <si>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</si>
  <si>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</si>
  <si>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</si>
  <si>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</si>
  <si>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</si>
  <si>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</si>
  <si>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</si>
  <si>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</si>
  <si>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</si>
  <si>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</si>
  <si>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</si>
  <si>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</si>
  <si>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</si>
  <si>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</si>
  <si>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</si>
  <si>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</si>
  <si>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</si>
  <si>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</si>
  <si>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</si>
  <si>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</si>
  <si>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</si>
  <si>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</si>
  <si>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</si>
  <si>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</si>
  <si>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</si>
  <si>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</si>
  <si>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</si>
  <si>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</si>
  <si>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</si>
  <si>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</si>
  <si>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</si>
  <si>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</si>
  <si>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</si>
  <si>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</si>
  <si>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</si>
  <si>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</si>
  <si>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</si>
  <si>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</si>
  <si>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</si>
  <si>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</si>
  <si>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</si>
  <si>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</si>
  <si>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</si>
  <si>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</si>
  <si>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</si>
  <si>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</si>
  <si>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</si>
  <si>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</si>
  <si>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</si>
  <si>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</si>
  <si>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</si>
  <si>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</si>
  <si>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</si>
  <si>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</si>
  <si>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</si>
  <si>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</si>
  <si>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</si>
  <si>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</si>
  <si>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</si>
  <si>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</si>
  <si>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</si>
  <si>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</si>
  <si>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</si>
  <si>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</si>
  <si>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</si>
  <si>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</si>
  <si>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</si>
  <si>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</si>
  <si>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</si>
  <si>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</si>
  <si>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</si>
  <si>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</si>
  <si>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</si>
  <si>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</si>
  <si>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</si>
  <si>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</si>
  <si>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</si>
  <si>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</si>
  <si>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</si>
  <si>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</si>
  <si>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</si>
  <si>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</si>
  <si>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</si>
  <si>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</si>
  <si>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</si>
  <si>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</si>
  <si>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</si>
  <si>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</si>
  <si>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</si>
  <si>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</si>
  <si>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</si>
  <si>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</si>
  <si>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</si>
  <si>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</si>
  <si>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</si>
  <si>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</si>
  <si>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</si>
  <si>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</si>
  <si>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</si>
  <si>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</si>
  <si>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</si>
  <si>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</si>
  <si>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</si>
  <si>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</si>
  <si>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</si>
  <si>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</si>
  <si>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</si>
  <si>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</si>
  <si>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</si>
  <si>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</si>
  <si>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</si>
  <si>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</si>
  <si>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</si>
  <si>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</si>
  <si>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</si>
  <si>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</si>
  <si>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</si>
  <si>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</si>
  <si>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</si>
  <si>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</si>
  <si>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</si>
  <si>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</si>
  <si>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</si>
  <si>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</si>
  <si>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</si>
  <si>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</si>
  <si>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</si>
  <si>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</si>
  <si>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</si>
  <si>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</si>
  <si>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</si>
  <si>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</si>
  <si>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</si>
  <si>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</si>
  <si>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</si>
  <si>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</si>
  <si>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</si>
  <si>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</si>
  <si>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</si>
  <si>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</si>
  <si>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</si>
  <si>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</si>
  <si>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</si>
  <si>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</si>
  <si>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</si>
  <si>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</si>
  <si>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</si>
  <si>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</si>
  <si>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</si>
  <si>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</si>
  <si>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</si>
  <si>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</si>
  <si>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</si>
  <si>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</si>
  <si>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</si>
  <si>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</si>
  <si>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</si>
  <si>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</si>
  <si>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</si>
  <si>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</si>
  <si>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</si>
  <si>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</si>
  <si>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</si>
  <si>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</si>
  <si>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</si>
  <si>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</si>
  <si>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</si>
  <si>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</si>
  <si>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</si>
  <si>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</si>
  <si>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</si>
  <si>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</si>
  <si>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</si>
  <si>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</si>
  <si>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</si>
  <si>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</si>
  <si>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</si>
  <si>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</si>
  <si>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</si>
  <si>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</si>
  <si>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</si>
  <si>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</si>
  <si>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</si>
  <si>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</si>
  <si>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</si>
  <si>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</si>
  <si>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</si>
  <si>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</si>
  <si>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</si>
  <si>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</si>
  <si>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</si>
  <si>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</si>
  <si>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</si>
  <si>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</si>
  <si>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</si>
  <si>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</si>
  <si>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</si>
  <si>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</si>
  <si>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</si>
  <si>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</si>
  <si>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</si>
  <si>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</si>
  <si>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</si>
  <si>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</si>
  <si>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</si>
  <si>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</si>
  <si>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</si>
  <si>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</si>
  <si>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</si>
  <si>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</si>
  <si>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</si>
  <si>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</si>
  <si>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</si>
  <si>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</si>
  <si>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</si>
  <si>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</si>
  <si>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</si>
  <si>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</si>
  <si>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</si>
  <si>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</si>
  <si>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</si>
  <si>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</si>
  <si>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</si>
  <si>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</si>
  <si>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</si>
  <si>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</si>
  <si>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</si>
  <si>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</si>
  <si>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</si>
  <si>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</si>
  <si>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</si>
  <si>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</si>
  <si>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</si>
  <si>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</si>
  <si>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</si>
  <si>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</si>
  <si>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</si>
  <si>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</si>
  <si>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</si>
  <si>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</si>
  <si>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</si>
  <si>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</si>
  <si>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</si>
  <si>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</si>
  <si>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</si>
  <si>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</si>
  <si>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</si>
  <si>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</si>
  <si>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</si>
  <si>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</si>
  <si>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</si>
  <si>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</si>
  <si>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</si>
  <si>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</si>
  <si>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</si>
  <si>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</si>
  <si>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</si>
  <si>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</si>
  <si>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</si>
  <si>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</si>
  <si>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</si>
  <si>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</si>
  <si>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</si>
  <si>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</si>
  <si>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</si>
  <si>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</si>
  <si>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</si>
  <si>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</si>
  <si>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</si>
  <si>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</si>
  <si>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</si>
  <si>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</si>
  <si>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</si>
  <si>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</si>
  <si>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</si>
  <si>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</si>
  <si>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</si>
  <si>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</si>
  <si>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</si>
  <si>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</si>
  <si>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</si>
  <si>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</si>
  <si>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</si>
  <si>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</si>
  <si>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</si>
  <si>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</si>
  <si>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</si>
  <si>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</si>
  <si>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</si>
  <si>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</si>
  <si>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</si>
  <si>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</si>
  <si>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</si>
  <si>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</si>
  <si>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</si>
  <si>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</si>
  <si>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</si>
  <si>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</si>
  <si>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</si>
  <si>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</si>
  <si>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</si>
  <si>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</si>
  <si>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</si>
  <si>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</si>
  <si>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</si>
  <si>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</si>
  <si>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</si>
  <si>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</si>
  <si>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</si>
  <si>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</si>
  <si>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</si>
  <si>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</si>
  <si>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</si>
  <si>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</si>
  <si>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</si>
  <si>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</si>
  <si>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</si>
  <si>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</si>
  <si>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</si>
  <si>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</si>
  <si>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</si>
  <si>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</si>
  <si>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</si>
  <si>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</si>
  <si>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</si>
  <si>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</si>
  <si>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</si>
  <si>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</si>
  <si>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</si>
  <si>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</si>
  <si>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</si>
  <si>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</si>
  <si>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</si>
  <si>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</si>
  <si>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</si>
  <si>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</si>
  <si>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</si>
  <si>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</si>
  <si>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</si>
  <si>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</si>
  <si>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</si>
  <si>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</si>
  <si>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</si>
  <si>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</si>
  <si>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</si>
  <si>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</si>
  <si>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</si>
  <si>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</si>
  <si>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</si>
  <si>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</si>
  <si>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</si>
  <si>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</si>
  <si>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</si>
  <si>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</si>
  <si>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</si>
  <si>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</si>
  <si>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</si>
  <si>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</si>
  <si>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</si>
  <si>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</si>
  <si>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</si>
  <si>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</si>
  <si>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</si>
  <si>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</si>
  <si>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</si>
  <si>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</si>
  <si>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</si>
  <si>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</si>
  <si>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</si>
  <si>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</si>
  <si>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</si>
  <si>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</si>
  <si>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</si>
  <si>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</si>
  <si>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</si>
  <si>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</si>
  <si>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</si>
  <si>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</si>
  <si>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</si>
  <si>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</si>
  <si>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</si>
  <si>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</si>
  <si>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</si>
  <si>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</si>
  <si>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</si>
  <si>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</si>
  <si>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</si>
  <si>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</si>
  <si>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</si>
  <si>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</si>
  <si>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</si>
  <si>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</si>
  <si>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</si>
  <si>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</si>
  <si>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</si>
  <si>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</si>
  <si>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</si>
  <si>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</si>
  <si>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</si>
  <si>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</si>
  <si>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</si>
  <si>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</si>
  <si>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</si>
  <si>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</si>
  <si>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</si>
  <si>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</si>
  <si>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</si>
  <si>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</si>
  <si>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</si>
  <si>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</si>
  <si>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</si>
  <si>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</si>
  <si>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</si>
  <si>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</si>
  <si>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</si>
  <si>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</si>
  <si>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</si>
  <si>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</si>
  <si>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</si>
  <si>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</si>
  <si>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</si>
  <si>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</si>
  <si>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</si>
  <si>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</si>
  <si>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</si>
  <si>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</si>
  <si>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</si>
  <si>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</si>
  <si>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</si>
  <si>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</si>
  <si>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</si>
  <si>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</si>
  <si>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</si>
  <si>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</si>
  <si>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</si>
  <si>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</si>
  <si>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</si>
  <si>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</si>
  <si>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</si>
  <si>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</si>
  <si>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</si>
  <si>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</si>
  <si>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</si>
  <si>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</si>
  <si>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</si>
  <si>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</si>
  <si>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</si>
  <si>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</si>
  <si>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</si>
  <si>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</si>
  <si>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</si>
  <si>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</si>
  <si>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</si>
  <si>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</si>
  <si>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</si>
  <si>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</si>
  <si>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</si>
  <si>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</si>
  <si>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</si>
  <si>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</si>
  <si>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</si>
  <si>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</si>
  <si>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</si>
  <si>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</si>
  <si>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</si>
  <si>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</si>
  <si>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</si>
  <si>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</si>
  <si>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</si>
  <si>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</si>
  <si>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</si>
  <si>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</si>
  <si>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</si>
  <si>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</si>
  <si>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</si>
  <si>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</si>
  <si>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</si>
  <si>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</si>
  <si>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</si>
  <si>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</si>
  <si>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</si>
  <si>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</si>
  <si>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</si>
  <si>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</si>
  <si>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</si>
  <si>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</si>
  <si>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</si>
  <si>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</si>
  <si>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</si>
  <si>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</si>
  <si>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</si>
  <si>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</si>
  <si>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</si>
  <si>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</si>
  <si>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</si>
  <si>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</si>
  <si>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</si>
  <si>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</si>
  <si>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</si>
  <si>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</si>
  <si>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</si>
  <si>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</si>
  <si>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</si>
  <si>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</si>
  <si>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</si>
  <si>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</si>
  <si>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</si>
  <si>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</si>
  <si>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</si>
  <si>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</si>
  <si>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</si>
  <si>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</si>
  <si>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</si>
  <si>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</si>
  <si>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</si>
  <si>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</si>
  <si>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</si>
  <si>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</si>
  <si>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</si>
  <si>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</si>
  <si>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</si>
  <si>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</si>
  <si>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</si>
  <si>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</si>
  <si>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</si>
  <si>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</si>
  <si>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</si>
  <si>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</si>
  <si>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</si>
  <si>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</si>
  <si>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</si>
  <si>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</si>
  <si>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</si>
  <si>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</si>
  <si>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</si>
  <si>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</si>
  <si>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</si>
  <si>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</si>
  <si>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</si>
  <si>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</si>
  <si>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</si>
  <si>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</si>
  <si>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</si>
  <si>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</si>
  <si>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</si>
  <si>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</si>
  <si>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</si>
  <si>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</si>
  <si>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</si>
  <si>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</si>
  <si>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</si>
  <si>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</si>
  <si>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</si>
  <si>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</si>
  <si>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</si>
  <si>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</si>
  <si>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</si>
  <si>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</si>
  <si>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</si>
  <si>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</si>
  <si>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</si>
  <si>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</si>
  <si>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</si>
  <si>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</si>
  <si>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</si>
  <si>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</si>
  <si>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</si>
  <si>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</si>
  <si>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</si>
  <si>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</si>
  <si>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</si>
  <si>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</si>
  <si>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</si>
  <si>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</si>
  <si>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</si>
  <si>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</si>
  <si>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</si>
  <si>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</si>
  <si>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</si>
  <si>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</si>
  <si>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</si>
  <si>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</si>
  <si>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</si>
  <si>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</si>
  <si>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</si>
  <si>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</si>
  <si>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</si>
  <si>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</si>
  <si>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</si>
  <si>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</si>
  <si>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</si>
  <si>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</si>
  <si>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</si>
  <si>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</si>
  <si>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</si>
  <si>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</si>
  <si>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</si>
  <si>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</si>
  <si>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</si>
  <si>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</si>
  <si>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</si>
  <si>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</si>
  <si>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</si>
  <si>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</si>
  <si>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</si>
  <si>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</si>
  <si>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</si>
  <si>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</si>
  <si>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</si>
  <si>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</si>
  <si>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</si>
  <si>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</si>
  <si>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</si>
  <si>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</si>
  <si>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</si>
  <si>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</si>
  <si>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</si>
  <si>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</si>
  <si>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</si>
  <si>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</si>
  <si>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</si>
  <si>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</si>
  <si>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</si>
  <si>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</si>
  <si>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</si>
  <si>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</si>
  <si>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</si>
  <si>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</si>
  <si>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</si>
  <si>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</si>
  <si>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</si>
  <si>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</si>
  <si>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</si>
  <si>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</si>
  <si>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</si>
  <si>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</si>
  <si>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</si>
  <si>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</si>
  <si>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</si>
  <si>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</si>
  <si>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</si>
  <si>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</si>
  <si>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</si>
  <si>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</si>
  <si>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</si>
  <si>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</si>
  <si>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</si>
  <si>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</si>
  <si>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</si>
  <si>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</si>
  <si>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</si>
  <si>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</si>
  <si>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</si>
  <si>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</si>
  <si>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</si>
  <si>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</si>
  <si>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</si>
  <si>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</si>
  <si>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</si>
  <si>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</si>
  <si>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</si>
  <si>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</si>
  <si>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</si>
  <si>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</si>
  <si>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</si>
  <si>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</si>
  <si>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</si>
  <si>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</si>
  <si>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</si>
  <si>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</si>
  <si>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</si>
  <si>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</si>
  <si>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</si>
  <si>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</si>
  <si>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</si>
  <si>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</si>
  <si>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</si>
  <si>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</si>
  <si>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</si>
  <si>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</si>
  <si>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</si>
  <si>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</si>
  <si>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</si>
  <si>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</si>
  <si>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</si>
  <si>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</si>
  <si>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</si>
  <si>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</si>
  <si>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</si>
  <si>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</si>
  <si>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</si>
  <si>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</si>
  <si>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</si>
  <si>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</si>
  <si>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</si>
  <si>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</si>
  <si>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</si>
  <si>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</si>
  <si>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</si>
  <si>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</si>
  <si>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</si>
  <si>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</si>
  <si>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</si>
  <si>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</si>
  <si>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</si>
  <si>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</si>
  <si>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</si>
  <si>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</si>
  <si>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</si>
  <si>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</si>
  <si>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</si>
  <si>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</si>
  <si>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</si>
  <si>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</si>
  <si>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</si>
  <si>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</si>
  <si>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</si>
  <si>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</si>
  <si>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</si>
  <si>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</si>
  <si>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</si>
  <si>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</si>
  <si>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</si>
  <si>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</si>
  <si>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</si>
  <si>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</si>
  <si>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</si>
  <si>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</si>
  <si>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</si>
  <si>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</si>
  <si>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</si>
  <si>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</si>
  <si>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</si>
  <si>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</si>
  <si>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</si>
  <si>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</si>
  <si>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</si>
  <si>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</si>
  <si>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</si>
  <si>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</si>
  <si>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</si>
  <si>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</si>
  <si>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</si>
  <si>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</si>
  <si>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</si>
  <si>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</si>
  <si>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</si>
  <si>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</si>
  <si>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</si>
  <si>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</si>
  <si>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</si>
  <si>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</si>
  <si>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</si>
  <si>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</si>
  <si>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</si>
  <si>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</si>
  <si>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</si>
  <si>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</si>
  <si>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</si>
  <si>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</si>
  <si>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</si>
  <si>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</si>
  <si>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</si>
  <si>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</si>
  <si>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</si>
  <si>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</si>
  <si>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</si>
  <si>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</si>
  <si>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</si>
  <si>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</si>
  <si>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</si>
  <si>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</si>
  <si>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</si>
  <si>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</si>
  <si>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</si>
  <si>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</si>
  <si>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</si>
  <si>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</si>
  <si>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</si>
  <si>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</si>
  <si>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</si>
  <si>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</si>
  <si>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</si>
  <si>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</si>
  <si>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</si>
  <si>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</si>
  <si>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</si>
  <si>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</si>
  <si>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</si>
  <si>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</si>
  <si>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</si>
  <si>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</si>
  <si>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</si>
  <si>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</si>
  <si>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</si>
  <si>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</si>
  <si>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</si>
  <si>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</si>
  <si>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</si>
  <si>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</si>
  <si>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</si>
  <si>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</si>
  <si>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</si>
  <si>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</si>
  <si>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</si>
  <si>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</si>
  <si>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</si>
  <si>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</si>
  <si>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</si>
  <si>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</si>
  <si>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</si>
  <si>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</si>
  <si>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</si>
  <si>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</si>
  <si>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</si>
  <si>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</si>
  <si>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</si>
  <si>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</si>
  <si>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</si>
  <si>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</si>
  <si>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</si>
  <si>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</si>
  <si>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</si>
  <si>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</si>
  <si>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</si>
  <si>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</si>
  <si>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</si>
  <si>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</si>
  <si>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</si>
  <si>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</si>
  <si>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</si>
  <si>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</si>
  <si>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</si>
  <si>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</si>
  <si>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</si>
  <si>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</si>
  <si>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</si>
  <si>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</si>
  <si>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</si>
  <si>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</si>
  <si>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</si>
  <si>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</si>
  <si>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</si>
  <si>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</si>
  <si>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</si>
  <si>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</si>
  <si>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</si>
  <si>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</si>
  <si>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</si>
  <si>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</si>
  <si>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</si>
  <si>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</si>
  <si>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</si>
  <si>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</si>
  <si>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</si>
  <si>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</si>
  <si>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</si>
  <si>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</si>
  <si>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</si>
  <si>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</si>
  <si>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</si>
  <si>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</si>
  <si>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</si>
  <si>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</si>
  <si>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</si>
  <si>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</si>
  <si>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</si>
  <si>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</si>
  <si>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</si>
  <si>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</si>
  <si>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</si>
  <si>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</si>
  <si>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</si>
  <si>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</si>
  <si>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</si>
  <si>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</si>
  <si>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</si>
  <si>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</si>
  <si>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</si>
  <si>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</si>
  <si>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</si>
  <si>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</si>
  <si>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</si>
  <si>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</si>
  <si>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</si>
  <si>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</si>
  <si>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</si>
  <si>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</si>
  <si>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</si>
  <si>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</si>
  <si>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</si>
  <si>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</si>
  <si>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</si>
  <si>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</si>
  <si>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</si>
  <si>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</si>
  <si>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</si>
  <si>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</si>
  <si>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</si>
  <si>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</si>
  <si>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</si>
  <si>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</si>
  <si>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</si>
  <si>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</si>
  <si>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</si>
  <si>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</si>
  <si>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</si>
  <si>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</si>
  <si>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</si>
  <si>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</si>
  <si>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</si>
  <si>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</si>
  <si>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</si>
  <si>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</si>
  <si>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</si>
  <si>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</si>
  <si>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</si>
  <si>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</si>
  <si>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</si>
  <si>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</si>
  <si>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</si>
  <si>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</si>
  <si>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</si>
  <si>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</si>
  <si>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</si>
  <si>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</si>
  <si>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</si>
  <si>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</si>
  <si>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</si>
  <si>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</si>
  <si>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</si>
  <si>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</si>
  <si>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</si>
  <si>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</si>
  <si>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</si>
  <si>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</si>
  <si>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</si>
  <si>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</si>
  <si>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</si>
  <si>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</si>
  <si>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</si>
  <si>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</si>
  <si>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</si>
  <si>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</si>
  <si>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</si>
  <si>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</si>
  <si>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</si>
  <si>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</si>
  <si>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</si>
  <si>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</si>
  <si>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</si>
  <si>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</si>
  <si>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</si>
  <si>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</si>
  <si>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</si>
  <si>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</si>
  <si>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</si>
  <si>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</si>
  <si>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</si>
  <si>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</si>
  <si>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</si>
  <si>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</si>
  <si>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</si>
  <si>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</si>
  <si>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</si>
  <si>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</si>
  <si>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</si>
  <si>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</si>
  <si>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</si>
  <si>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</si>
  <si>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</si>
  <si>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</si>
  <si>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</si>
  <si>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</si>
  <si>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</si>
  <si>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</si>
  <si>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</si>
  <si>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</si>
  <si>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</si>
  <si>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</si>
  <si>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</si>
  <si>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</si>
  <si>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</si>
  <si>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</si>
  <si>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</si>
  <si>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</si>
  <si>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</si>
  <si>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</si>
  <si>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</si>
  <si>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</si>
  <si>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</si>
  <si>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</si>
  <si>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</si>
  <si>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</si>
  <si>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</si>
  <si>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</si>
  <si>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</si>
  <si>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</si>
  <si>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</si>
  <si>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</si>
  <si>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</si>
  <si>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</si>
  <si>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</si>
  <si>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</si>
  <si>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</si>
  <si>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</si>
  <si>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</si>
  <si>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</si>
  <si>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</si>
  <si>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</si>
  <si>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</si>
  <si>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</si>
  <si>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</si>
  <si>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</si>
  <si>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</si>
  <si>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</si>
  <si>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</si>
  <si>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</si>
  <si>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</si>
  <si>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</si>
  <si>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</si>
  <si>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</si>
  <si>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</si>
  <si>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</si>
  <si>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</si>
  <si>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</si>
  <si>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</si>
  <si>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</si>
  <si>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</si>
  <si>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</si>
  <si>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</si>
  <si>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</si>
  <si>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</si>
  <si>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</si>
  <si>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</si>
  <si>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</si>
  <si>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</si>
  <si>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</si>
  <si>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</si>
  <si>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</si>
  <si>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</si>
  <si>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</si>
  <si>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</si>
  <si>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</si>
  <si>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</si>
  <si>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</si>
  <si>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</si>
  <si>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</si>
  <si>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</si>
  <si>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</si>
  <si>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</si>
  <si>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</si>
  <si>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</si>
  <si>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</si>
  <si>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</si>
  <si>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</si>
  <si>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</si>
  <si>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</si>
  <si>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</si>
  <si>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</si>
  <si>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</si>
  <si>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</si>
  <si>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</si>
  <si>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</si>
  <si>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</si>
  <si>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</si>
  <si>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</si>
  <si>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</si>
  <si>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</si>
  <si>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</si>
  <si>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</si>
  <si>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</si>
  <si>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</si>
  <si>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</si>
  <si>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</si>
  <si>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</si>
  <si>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</si>
  <si>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</si>
  <si>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</si>
  <si>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</si>
  <si>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</si>
  <si>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</si>
  <si>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</si>
  <si>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</si>
  <si>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</si>
  <si>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</si>
  <si>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</si>
  <si>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</si>
  <si>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</si>
  <si>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</si>
  <si>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</si>
  <si>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</si>
  <si>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</si>
  <si>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</si>
  <si>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</si>
  <si>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</si>
  <si>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</si>
  <si>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</si>
  <si>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</si>
  <si>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</si>
  <si>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</si>
  <si>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</si>
  <si>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</si>
  <si>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</si>
  <si>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</si>
  <si>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</si>
  <si>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</si>
  <si>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</si>
  <si>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</si>
  <si>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</si>
  <si>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</si>
  <si>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</si>
  <si>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</si>
  <si>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</si>
  <si>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</si>
  <si>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</si>
  <si>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</si>
  <si>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</si>
  <si>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</si>
  <si>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</si>
  <si>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</si>
  <si>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</si>
  <si>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</si>
  <si>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</si>
  <si>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</si>
  <si>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</si>
  <si>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</si>
  <si>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</si>
  <si>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</si>
  <si>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</si>
  <si>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</si>
  <si>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</si>
  <si>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</si>
  <si>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</si>
  <si>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</si>
  <si>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</si>
  <si>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</si>
  <si>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</si>
  <si>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</si>
  <si>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</si>
  <si>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</si>
  <si>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</si>
  <si>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</si>
  <si>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</si>
  <si>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</si>
  <si>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</si>
  <si>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</si>
  <si>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</si>
  <si>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</si>
  <si>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</si>
  <si>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</si>
  <si>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</si>
  <si>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</si>
  <si>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</si>
  <si>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</si>
  <si>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</si>
  <si>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</si>
  <si>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</si>
  <si>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</si>
  <si>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</si>
  <si>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</si>
  <si>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</si>
  <si>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</si>
  <si>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</si>
  <si>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</si>
  <si>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</si>
  <si>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</si>
  <si>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</si>
  <si>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</si>
  <si>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</si>
  <si>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</si>
  <si>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</si>
  <si>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</si>
  <si>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</si>
  <si>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</si>
  <si>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</si>
  <si>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</si>
  <si>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</si>
  <si>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</si>
  <si>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</si>
  <si>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</si>
  <si>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</si>
  <si>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</si>
  <si>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</si>
  <si>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</si>
  <si>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</si>
  <si>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</si>
  <si>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</si>
  <si>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</si>
  <si>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</si>
  <si>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</si>
  <si>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</si>
  <si>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</si>
  <si>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</si>
  <si>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</si>
  <si>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</si>
  <si>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</si>
  <si>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</si>
  <si>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</si>
  <si>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</si>
  <si>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</si>
  <si>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</si>
  <si>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</si>
  <si>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</si>
  <si>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</si>
  <si>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</si>
  <si>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</si>
  <si>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</si>
  <si>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</si>
  <si>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</si>
  <si>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</si>
  <si>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</si>
  <si>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</si>
  <si>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</si>
  <si>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</si>
  <si>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</si>
  <si>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</si>
  <si>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</si>
  <si>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</si>
  <si>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</si>
  <si>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</si>
  <si>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</si>
  <si>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</si>
  <si>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</si>
  <si>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</si>
  <si>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</si>
  <si>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</si>
  <si>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</si>
  <si>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</si>
  <si>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</si>
  <si>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</si>
  <si>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</si>
  <si>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</si>
  <si>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</si>
  <si>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</si>
  <si>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</si>
  <si>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</si>
  <si>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</si>
  <si>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</si>
  <si>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</si>
  <si>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</si>
  <si>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</si>
  <si>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</si>
  <si>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</si>
  <si>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</si>
  <si>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</si>
  <si>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</si>
  <si>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</si>
  <si>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</si>
  <si>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</si>
  <si>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</si>
  <si>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</si>
  <si>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</si>
  <si>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</si>
  <si>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</si>
  <si>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</si>
  <si>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</si>
  <si>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</si>
  <si>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</si>
  <si>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</si>
  <si>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</si>
  <si>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</si>
  <si>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</si>
  <si>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</si>
  <si>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</si>
  <si>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</si>
  <si>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</si>
  <si>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</si>
  <si>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</si>
  <si>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</si>
  <si>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</si>
  <si>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</si>
  <si>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</si>
  <si>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</si>
  <si>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</si>
  <si>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</si>
  <si>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</si>
  <si>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</si>
  <si>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</si>
  <si>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</si>
  <si>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</si>
  <si>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</si>
  <si>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</si>
  <si>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</si>
  <si>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</si>
  <si>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</si>
  <si>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</si>
  <si>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</si>
  <si>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</si>
  <si>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</si>
  <si>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</si>
  <si>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</si>
  <si>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</si>
  <si>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</si>
  <si>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</si>
  <si>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</si>
  <si>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</si>
  <si>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</si>
  <si>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</si>
  <si>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</si>
  <si>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</si>
  <si>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</si>
  <si>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</si>
  <si>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</si>
  <si>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</si>
  <si>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</si>
  <si>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</si>
  <si>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</si>
  <si>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</si>
  <si>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</si>
  <si>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</si>
  <si>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</si>
  <si>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</si>
  <si>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</si>
  <si>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</si>
  <si>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</si>
  <si>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</si>
  <si>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</si>
  <si>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</si>
  <si>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</si>
  <si>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</si>
  <si>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</si>
  <si>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</si>
  <si>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</si>
  <si>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</si>
  <si>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</si>
  <si>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</si>
  <si>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</si>
  <si>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</si>
  <si>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</si>
  <si>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</si>
  <si>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</si>
  <si>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</si>
  <si>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</si>
  <si>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</si>
  <si>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</si>
  <si>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</si>
  <si>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</si>
  <si>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</si>
  <si>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</si>
  <si>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</si>
  <si>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</si>
  <si>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</si>
  <si>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</si>
  <si>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</si>
  <si>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</si>
  <si>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</si>
  <si>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</si>
  <si>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</si>
  <si>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</si>
  <si>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</si>
  <si>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</si>
  <si>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</si>
  <si>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</si>
  <si>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</si>
  <si>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</si>
  <si>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</si>
  <si>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</si>
  <si>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</si>
  <si>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</si>
  <si>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</si>
  <si>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</si>
  <si>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</si>
  <si>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</si>
  <si>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</si>
  <si>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</si>
  <si>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</si>
  <si>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</si>
  <si>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</si>
  <si>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</si>
  <si>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</si>
  <si>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</si>
  <si>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</si>
  <si>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</si>
  <si>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</si>
  <si>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</si>
  <si>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</si>
  <si>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</si>
  <si>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</si>
  <si>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</si>
  <si>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</si>
  <si>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</si>
  <si>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</si>
  <si>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</si>
  <si>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</si>
  <si>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</si>
  <si>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</si>
  <si>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</si>
  <si>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</si>
  <si>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</si>
  <si>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</si>
  <si>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</si>
  <si>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</si>
  <si>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</si>
  <si>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</si>
  <si>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</si>
  <si>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</si>
  <si>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</si>
  <si>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</si>
  <si>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</si>
  <si>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</si>
  <si>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</si>
  <si>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</si>
  <si>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</si>
  <si>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</si>
  <si>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</si>
  <si>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</si>
  <si>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</si>
  <si>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</si>
  <si>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</si>
  <si>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</si>
  <si>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</si>
  <si>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</si>
  <si>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</si>
  <si>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</si>
  <si>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</si>
  <si>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</si>
  <si>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</si>
  <si>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</si>
  <si>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</si>
  <si>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</si>
  <si>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</si>
  <si>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</si>
  <si>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</si>
  <si>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</si>
  <si>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</si>
  <si>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</si>
  <si>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</si>
  <si>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</si>
  <si>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</si>
  <si>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</si>
  <si>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</si>
  <si>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</si>
  <si>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</si>
  <si>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</si>
  <si>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</si>
  <si>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</si>
  <si>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</si>
  <si>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</si>
  <si>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</si>
  <si>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</si>
  <si>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</si>
  <si>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</si>
  <si>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</si>
  <si>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</si>
  <si>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</si>
  <si>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</si>
  <si>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</si>
  <si>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</si>
  <si>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</si>
  <si>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</si>
  <si>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</si>
  <si>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</si>
  <si>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</si>
  <si>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</si>
  <si>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</si>
  <si>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</si>
  <si>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</si>
  <si>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</si>
  <si>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</si>
  <si>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</si>
  <si>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</si>
  <si>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</si>
  <si>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</si>
  <si>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</si>
  <si>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</si>
  <si>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</si>
  <si>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</si>
  <si>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</si>
  <si>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</si>
  <si>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</si>
  <si>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</si>
  <si>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</si>
  <si>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</si>
  <si>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</si>
  <si>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</si>
  <si>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</si>
  <si>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</si>
  <si>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</si>
  <si>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</si>
  <si>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</si>
  <si>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</si>
  <si>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</si>
  <si>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</si>
  <si>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</si>
  <si>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</si>
  <si>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</si>
  <si>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</si>
  <si>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</si>
  <si>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</si>
  <si>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</si>
  <si>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</si>
  <si>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</si>
  <si>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</si>
  <si>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</si>
  <si>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</si>
  <si>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</si>
  <si>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</si>
  <si>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</si>
  <si>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</si>
  <si>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</si>
  <si>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</si>
  <si>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</si>
  <si>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</si>
  <si>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</si>
  <si>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</si>
  <si>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</si>
  <si>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</si>
  <si>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</si>
  <si>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</si>
  <si>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</si>
  <si>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</si>
  <si>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</si>
  <si>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</si>
  <si>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</si>
  <si>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</si>
  <si>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</si>
  <si>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</si>
  <si>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</si>
  <si>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</si>
  <si>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</si>
  <si>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</si>
  <si>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</si>
  <si>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</si>
  <si>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</si>
  <si>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</si>
  <si>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</si>
  <si>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</si>
  <si>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</si>
  <si>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</si>
  <si>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</si>
  <si>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</si>
  <si>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</si>
  <si>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</si>
  <si>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</si>
  <si>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</si>
  <si>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</si>
  <si>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</si>
  <si>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</si>
  <si>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</si>
  <si>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</si>
  <si>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</si>
  <si>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</si>
  <si>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</si>
  <si>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</si>
  <si>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</si>
  <si>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</si>
  <si>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</si>
  <si>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</si>
  <si>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</si>
  <si>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</si>
  <si>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</si>
  <si>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</si>
  <si>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</si>
  <si>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</si>
  <si>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</si>
  <si>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</si>
  <si>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</si>
  <si>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</si>
  <si>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</si>
  <si>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</si>
  <si>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</si>
  <si>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</si>
  <si>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</si>
  <si>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</si>
  <si>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</si>
  <si>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</si>
  <si>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</si>
  <si>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</si>
  <si>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</si>
  <si>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</si>
  <si>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</si>
  <si>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</si>
  <si>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</si>
  <si>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</si>
  <si>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</si>
  <si>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</si>
  <si>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</si>
  <si>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</si>
  <si>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</si>
  <si>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</si>
  <si>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</si>
  <si>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</si>
  <si>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</si>
  <si>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</si>
  <si>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</si>
  <si>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</si>
  <si>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</si>
  <si>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</si>
  <si>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</si>
  <si>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</si>
  <si>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</si>
  <si>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</si>
  <si>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</si>
  <si>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</si>
  <si>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</si>
  <si>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</si>
  <si>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</si>
  <si>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</si>
  <si>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</si>
  <si>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</si>
  <si>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</si>
  <si>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</si>
  <si>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</si>
  <si>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</si>
  <si>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</si>
  <si>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</si>
  <si>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</si>
  <si>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</si>
  <si>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</si>
  <si>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</si>
  <si>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</si>
  <si>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</si>
  <si>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</si>
  <si>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</si>
  <si>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</si>
  <si>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</si>
  <si>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</si>
  <si>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</si>
  <si>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</si>
  <si>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</si>
  <si>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</si>
  <si>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</si>
  <si>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</si>
  <si>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</si>
  <si>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</si>
  <si>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</si>
  <si>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</si>
  <si>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</si>
  <si>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</si>
  <si>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</si>
  <si>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</si>
  <si>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</si>
  <si>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</si>
  <si>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</si>
  <si>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</si>
  <si>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</si>
  <si>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</si>
  <si>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</si>
  <si>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</si>
  <si>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</si>
  <si>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</si>
  <si>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</si>
  <si>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</si>
  <si>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</si>
  <si>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</si>
  <si>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</si>
  <si>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</si>
  <si>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</si>
  <si>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</si>
  <si>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</si>
  <si>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</si>
  <si>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</si>
  <si>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</si>
  <si>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</si>
  <si>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</si>
  <si>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</si>
  <si>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</si>
  <si>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</si>
  <si>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</si>
  <si>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</si>
  <si>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</si>
  <si>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</si>
  <si>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</si>
  <si>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</si>
  <si>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</si>
  <si>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</si>
  <si>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</si>
  <si>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</si>
  <si>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</si>
  <si>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</si>
  <si>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</si>
  <si>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</si>
  <si>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</si>
  <si>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</si>
  <si>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</si>
  <si>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</si>
  <si>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</si>
  <si>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</si>
  <si>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</si>
  <si>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</si>
  <si>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</si>
  <si>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</si>
  <si>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</si>
  <si>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</si>
  <si>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</si>
  <si>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</si>
  <si>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</si>
  <si>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</si>
  <si>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</si>
  <si>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</si>
  <si>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</si>
  <si>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</si>
  <si>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</si>
  <si>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</si>
  <si>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</si>
  <si>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</si>
  <si>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</si>
  <si>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</si>
  <si>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</si>
  <si>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</si>
  <si>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</si>
  <si>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</si>
  <si>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</si>
  <si>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</si>
  <si>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</si>
  <si>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</si>
  <si>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</si>
  <si>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</si>
  <si>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</si>
  <si>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</si>
  <si>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</si>
  <si>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</si>
  <si>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</si>
  <si>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</si>
  <si>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</si>
  <si>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</si>
  <si>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</si>
  <si>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</si>
  <si>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</si>
  <si>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</si>
  <si>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</si>
  <si>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</si>
  <si>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</si>
  <si>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</si>
  <si>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</si>
  <si>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</si>
  <si>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</si>
  <si>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</si>
  <si>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</si>
  <si>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</si>
  <si>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</si>
  <si>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</si>
  <si>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</si>
  <si>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</si>
  <si>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</si>
  <si>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</si>
  <si>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</si>
  <si>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</si>
  <si>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</si>
  <si>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</si>
  <si>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</si>
  <si>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</si>
  <si>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</si>
  <si>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</si>
  <si>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</si>
  <si>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</si>
  <si>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</si>
  <si>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</si>
  <si>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</si>
  <si>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</si>
  <si>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</si>
  <si>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</si>
  <si>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</si>
  <si>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</si>
  <si>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</si>
  <si>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</si>
  <si>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</si>
  <si>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</si>
  <si>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</si>
  <si>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</si>
  <si>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</si>
  <si>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</si>
  <si>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</si>
  <si>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</si>
  <si>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</si>
  <si>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</si>
  <si>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</si>
  <si>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</si>
  <si>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</si>
  <si>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</si>
  <si>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</si>
  <si>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</si>
  <si>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</si>
  <si>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</si>
  <si>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</si>
  <si>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</si>
  <si>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</si>
  <si>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</si>
  <si>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</si>
  <si>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</si>
  <si>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</si>
  <si>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</si>
  <si>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</si>
  <si>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</si>
  <si>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</si>
  <si>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</si>
  <si>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</si>
  <si>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</si>
  <si>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</si>
  <si>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</si>
  <si>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</si>
  <si>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</si>
  <si>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</si>
  <si>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</si>
  <si>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</si>
  <si>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</si>
  <si>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</si>
  <si>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</si>
  <si>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</si>
  <si>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</si>
  <si>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</si>
  <si>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</si>
  <si>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</si>
  <si>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</si>
  <si>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</si>
  <si>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</si>
  <si>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</si>
  <si>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</si>
  <si>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</si>
  <si>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</si>
  <si>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</si>
  <si>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</si>
  <si>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</si>
  <si>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</si>
  <si>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</si>
  <si>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</si>
  <si>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</si>
  <si>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</si>
  <si>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</si>
  <si>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</si>
  <si>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</si>
  <si>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</si>
  <si>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</si>
  <si>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</si>
  <si>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</si>
  <si>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</si>
  <si>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</si>
  <si>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</si>
  <si>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</si>
  <si>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</si>
  <si>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</si>
  <si>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</si>
  <si>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</si>
  <si>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</si>
  <si>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</si>
  <si>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</si>
  <si>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</si>
  <si>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</si>
  <si>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</si>
  <si>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</si>
  <si>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</si>
  <si>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</si>
  <si>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</si>
  <si>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</si>
  <si>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</si>
  <si>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</si>
  <si>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</si>
  <si>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</si>
  <si>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</si>
  <si>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</si>
  <si>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</si>
  <si>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</si>
  <si>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</si>
  <si>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</si>
  <si>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</si>
  <si>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</si>
  <si>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</si>
  <si>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</si>
  <si>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</si>
  <si>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</si>
  <si>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</si>
  <si>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</si>
  <si>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</si>
  <si>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</si>
  <si>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</si>
  <si>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</si>
  <si>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</si>
  <si>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</si>
  <si>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</si>
  <si>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</si>
  <si>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</si>
  <si>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</si>
  <si>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</si>
  <si>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</si>
  <si>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</si>
  <si>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</si>
  <si>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</si>
  <si>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</si>
  <si>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</si>
  <si>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</si>
  <si>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</si>
  <si>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</si>
  <si>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</si>
  <si>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</si>
  <si>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</si>
  <si>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</si>
  <si>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</si>
  <si>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</si>
  <si>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</si>
  <si>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</si>
  <si>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</si>
  <si>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</si>
  <si>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</si>
  <si>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</si>
  <si>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</si>
  <si>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</si>
  <si>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</si>
  <si>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</si>
  <si>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</si>
  <si>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</si>
  <si>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</si>
  <si>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</si>
  <si>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</si>
  <si>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</si>
  <si>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</si>
  <si>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</si>
  <si>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</si>
  <si>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</si>
  <si>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</si>
  <si>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</si>
  <si>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</si>
  <si>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</si>
  <si>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</si>
  <si>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</si>
  <si>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</si>
  <si>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</si>
  <si>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</si>
  <si>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</si>
  <si>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</si>
  <si>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</si>
  <si>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</si>
  <si>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</si>
  <si>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</si>
  <si>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</si>
  <si>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</si>
  <si>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</si>
  <si>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</si>
  <si>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</si>
  <si>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</si>
  <si>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</si>
  <si>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</si>
  <si>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</si>
  <si>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</si>
  <si>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</si>
  <si>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</si>
  <si>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</si>
  <si>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</si>
  <si>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</si>
  <si>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</si>
  <si>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</si>
  <si>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</si>
  <si>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</si>
  <si>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</si>
  <si>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</si>
  <si>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</si>
  <si>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</si>
  <si>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</si>
  <si>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</si>
  <si>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</si>
  <si>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</si>
  <si>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</si>
  <si>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</si>
  <si>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</si>
  <si>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</si>
  <si>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</si>
  <si>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</si>
  <si>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</si>
  <si>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</si>
  <si>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</si>
  <si>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</si>
  <si>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</si>
  <si>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</si>
  <si>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</si>
  <si>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</si>
  <si>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</si>
  <si>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</si>
  <si>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</si>
  <si>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</si>
  <si>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</si>
  <si>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</si>
  <si>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</si>
  <si>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</si>
  <si>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</si>
  <si>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</si>
  <si>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</si>
  <si>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</si>
  <si>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</si>
  <si>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</si>
  <si>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</si>
  <si>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</si>
  <si>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</si>
  <si>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</si>
  <si>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</si>
  <si>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</si>
  <si>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</si>
  <si>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</si>
  <si>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</si>
  <si>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</si>
  <si>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</si>
  <si>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</si>
  <si>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</si>
  <si>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</si>
  <si>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</si>
  <si>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</si>
  <si>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</si>
  <si>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</si>
  <si>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</si>
  <si>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</si>
  <si>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</si>
  <si>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</si>
  <si>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</si>
  <si>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</si>
  <si>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</si>
  <si>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</si>
  <si>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</si>
  <si>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</si>
  <si>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</si>
  <si>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</si>
  <si>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</si>
  <si>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</si>
  <si>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</si>
  <si>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</si>
  <si>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</si>
  <si>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</si>
  <si>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</si>
  <si>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</si>
  <si>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</si>
  <si>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</si>
  <si>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</si>
  <si>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</si>
  <si>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</si>
  <si>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</si>
  <si>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</si>
  <si>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</si>
  <si>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</si>
  <si>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</si>
  <si>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</si>
  <si>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</si>
  <si>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</si>
  <si>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</si>
  <si>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</si>
  <si>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</si>
  <si>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</si>
  <si>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</si>
  <si>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</si>
  <si>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</si>
  <si>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</si>
  <si>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</si>
  <si>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</si>
  <si>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</si>
  <si>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</si>
  <si>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</si>
  <si>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</si>
  <si>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</si>
  <si>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</si>
  <si>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</si>
  <si>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</si>
  <si>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</si>
  <si>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</si>
  <si>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</si>
  <si>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</si>
  <si>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</si>
  <si>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</si>
  <si>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</si>
  <si>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</si>
  <si>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</si>
  <si>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</si>
  <si>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</si>
  <si>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</si>
  <si>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</si>
  <si>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</si>
  <si>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</si>
  <si>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</si>
  <si>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</si>
  <si>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</si>
  <si>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</si>
  <si>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</si>
  <si>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</si>
  <si>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</si>
  <si>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</si>
  <si>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</si>
  <si>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</si>
  <si>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</si>
  <si>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</si>
  <si>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</si>
  <si>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</si>
  <si>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</si>
  <si>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</si>
  <si>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</si>
  <si>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</si>
  <si>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</si>
  <si>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</si>
  <si>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</si>
  <si>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</si>
  <si>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</si>
  <si>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</si>
  <si>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</si>
  <si>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</si>
  <si>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</si>
  <si>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</si>
  <si>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</si>
  <si>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</si>
  <si>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</si>
  <si>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</si>
  <si>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</si>
  <si>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</si>
  <si>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</si>
  <si>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</si>
  <si>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</si>
  <si>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</si>
  <si>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</si>
  <si>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</si>
  <si>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</si>
  <si>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</si>
  <si>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</si>
  <si>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</si>
  <si>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</si>
  <si>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</si>
  <si>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</si>
  <si>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</si>
  <si>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</si>
  <si>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</si>
  <si>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</si>
  <si>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</si>
  <si>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</si>
  <si>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</si>
  <si>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</si>
  <si>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</si>
  <si>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</si>
  <si>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</si>
  <si>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</si>
  <si>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</si>
  <si>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</si>
  <si>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</si>
  <si>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</si>
  <si>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</si>
  <si>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</si>
  <si>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</si>
  <si>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</si>
  <si>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</si>
  <si>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</si>
  <si>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</si>
  <si>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</si>
  <si>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</si>
  <si>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</si>
  <si>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</si>
  <si>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</si>
  <si>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</si>
  <si>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</si>
  <si>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</si>
  <si>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</si>
  <si>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</si>
  <si>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</si>
  <si>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</si>
  <si>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</si>
  <si>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</si>
  <si>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</si>
  <si>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</si>
  <si>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</si>
  <si>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</si>
  <si>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</si>
  <si>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</si>
  <si>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</si>
  <si>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</si>
  <si>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</si>
  <si>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</si>
  <si>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</si>
  <si>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</si>
  <si>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</si>
  <si>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</si>
  <si>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</si>
  <si>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</si>
  <si>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</si>
  <si>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</si>
  <si>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</si>
  <si>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</si>
  <si>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</si>
  <si>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</si>
  <si>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</si>
  <si>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</si>
  <si>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</si>
  <si>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</si>
  <si>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</si>
  <si>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</si>
  <si>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</si>
  <si>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</si>
  <si>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</si>
  <si>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</si>
  <si>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</si>
  <si>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</si>
  <si>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</si>
  <si>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</si>
  <si>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</si>
  <si>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</si>
  <si>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</si>
  <si>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</si>
  <si>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</si>
  <si>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</si>
  <si>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</si>
  <si>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</si>
  <si>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</si>
  <si>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</si>
  <si>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</si>
  <si>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</si>
  <si>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</si>
  <si>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</si>
  <si>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</si>
  <si>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</si>
  <si>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</si>
  <si>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</si>
  <si>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</si>
  <si>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</si>
  <si>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</si>
  <si>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</si>
  <si>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</si>
  <si>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</si>
  <si>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</si>
  <si>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</si>
  <si>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</si>
  <si>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</si>
  <si>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</si>
  <si>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</si>
  <si>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</si>
  <si>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</si>
  <si>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</si>
  <si>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</si>
  <si>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</si>
  <si>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</si>
  <si>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</si>
  <si>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</si>
  <si>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</si>
  <si>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</si>
  <si>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</si>
  <si>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</si>
  <si>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</si>
  <si>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</si>
  <si>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</si>
  <si>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</si>
  <si>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</si>
  <si>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</si>
  <si>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</si>
  <si>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</si>
  <si>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</si>
  <si>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</si>
  <si>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</si>
  <si>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</si>
  <si>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</si>
  <si>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</si>
  <si>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</si>
  <si>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</si>
  <si>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</si>
  <si>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</si>
  <si>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</si>
  <si>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</si>
  <si>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</si>
  <si>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</si>
  <si>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</si>
  <si>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</si>
  <si>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</si>
  <si>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</si>
  <si>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</si>
  <si>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</si>
  <si>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</si>
  <si>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</si>
  <si>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</si>
  <si>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</si>
  <si>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</si>
  <si>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</si>
  <si>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</si>
  <si>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</si>
  <si>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</si>
  <si>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</si>
  <si>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</si>
  <si>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</si>
  <si>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</si>
  <si>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</si>
  <si>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</si>
  <si>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</si>
  <si>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</si>
  <si>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</si>
  <si>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</si>
  <si>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</si>
  <si>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</si>
  <si>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</si>
  <si>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</si>
  <si>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</si>
  <si>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</si>
  <si>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</si>
  <si>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</si>
  <si>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</si>
  <si>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</si>
  <si>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</si>
  <si>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</si>
  <si>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</si>
  <si>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</si>
  <si>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</si>
  <si>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</si>
  <si>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</si>
  <si>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</si>
  <si>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</si>
  <si>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</si>
  <si>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</si>
  <si>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</si>
  <si>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</si>
  <si>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</si>
  <si>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</si>
  <si>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</si>
  <si>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</si>
  <si>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</si>
  <si>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</si>
  <si>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</si>
  <si>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</si>
  <si>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</si>
  <si>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</si>
  <si>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</si>
  <si>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</si>
  <si>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</si>
  <si>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</si>
  <si>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</si>
  <si>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</si>
  <si>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</si>
  <si>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</si>
  <si>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</si>
  <si>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</si>
  <si>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</si>
  <si>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</si>
  <si>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</si>
  <si>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</si>
  <si>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</si>
  <si>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</si>
  <si>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</si>
  <si>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</si>
  <si>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</si>
  <si>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</si>
  <si>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</si>
  <si>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</si>
  <si>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</si>
  <si>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</si>
  <si>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</si>
  <si>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</si>
  <si>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</si>
  <si>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</si>
  <si>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</si>
  <si>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</si>
  <si>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</si>
  <si>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</si>
  <si>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</si>
  <si>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</si>
  <si>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</si>
  <si>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</si>
  <si>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</si>
  <si>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</si>
  <si>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</si>
  <si>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</si>
  <si>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</si>
  <si>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</si>
  <si>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</si>
  <si>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</si>
  <si>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</si>
  <si>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</si>
  <si>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</si>
  <si>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</si>
  <si>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</si>
  <si>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</si>
  <si>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</si>
  <si>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</si>
  <si>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</si>
  <si>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</si>
  <si>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</si>
  <si>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</si>
  <si>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</si>
  <si>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</si>
  <si>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</si>
  <si>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</si>
  <si>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</si>
  <si>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</si>
  <si>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</si>
  <si>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</si>
  <si>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</si>
  <si>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</si>
  <si>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</si>
  <si>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</si>
  <si>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</si>
  <si>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</si>
  <si>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</si>
  <si>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</si>
  <si>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</si>
  <si>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</si>
  <si>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</si>
  <si>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</si>
  <si>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</si>
  <si>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</si>
  <si>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</si>
  <si>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</si>
  <si>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</si>
  <si>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</si>
  <si>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</si>
  <si>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</si>
  <si>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</si>
  <si>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</si>
  <si>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</si>
  <si>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</si>
  <si>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</si>
  <si>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</si>
  <si>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</si>
  <si>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</si>
  <si>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</si>
  <si>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</si>
  <si>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</si>
  <si>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</si>
  <si>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</si>
  <si>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</si>
  <si>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</si>
  <si>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</si>
  <si>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</si>
  <si>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</si>
  <si>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</si>
  <si>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</si>
  <si>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</si>
  <si>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</si>
  <si>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</si>
  <si>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</si>
  <si>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</si>
  <si>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</si>
  <si>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</si>
  <si>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</si>
  <si>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</si>
  <si>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</si>
  <si>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</si>
  <si>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</si>
  <si>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</si>
  <si>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</si>
  <si>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</si>
  <si>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</si>
  <si>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</si>
  <si>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</si>
  <si>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</si>
  <si>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</si>
  <si>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</si>
  <si>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</si>
  <si>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</si>
  <si>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</si>
  <si>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</si>
  <si>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</si>
  <si>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</si>
  <si>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</si>
  <si>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</si>
  <si>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</si>
  <si>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</si>
  <si>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</si>
  <si>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</si>
  <si>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</si>
  <si>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</si>
  <si>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</si>
  <si>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</si>
  <si>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</si>
  <si>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</si>
  <si>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</si>
  <si>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</si>
  <si>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</si>
  <si>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</si>
  <si>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</si>
  <si>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</si>
  <si>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</si>
  <si>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</si>
  <si>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</si>
  <si>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</si>
  <si>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</si>
  <si>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</si>
  <si>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</si>
  <si>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</si>
  <si>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</si>
  <si>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</si>
  <si>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</si>
  <si>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</si>
  <si>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</si>
  <si>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</si>
  <si>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</si>
  <si>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</si>
  <si>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</si>
  <si>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</si>
  <si>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</si>
  <si>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</si>
  <si>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</si>
  <si>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</si>
  <si>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</si>
  <si>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</si>
  <si>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</si>
  <si>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</si>
  <si>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</si>
  <si>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</si>
  <si>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</si>
  <si>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</si>
  <si>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</si>
  <si>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</si>
  <si>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</si>
  <si>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</si>
  <si>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</si>
  <si>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</si>
  <si>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</si>
  <si>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</si>
  <si>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</si>
  <si>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</si>
  <si>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</si>
  <si>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</si>
  <si>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</si>
  <si>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</si>
  <si>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</si>
  <si>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</si>
  <si>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</si>
  <si>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</si>
  <si>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</si>
  <si>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</si>
  <si>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</si>
  <si>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</si>
  <si>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</si>
  <si>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</si>
  <si>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</si>
  <si>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</si>
  <si>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</si>
  <si>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</si>
  <si>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</si>
  <si>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</si>
  <si>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</si>
  <si>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</si>
  <si>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</si>
  <si>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</si>
  <si>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</si>
  <si>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</si>
  <si>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</si>
  <si>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</si>
  <si>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</si>
  <si>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</si>
  <si>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</si>
  <si>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</si>
  <si>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</si>
  <si>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</si>
  <si>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</si>
  <si>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</si>
  <si>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</si>
  <si>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</si>
  <si>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</si>
  <si>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</si>
  <si>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</si>
  <si>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</si>
  <si>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</si>
  <si>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</si>
  <si>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</si>
  <si>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</si>
  <si>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</si>
  <si>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</si>
  <si>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</si>
  <si>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</si>
  <si>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</si>
  <si>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</si>
  <si>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</si>
  <si>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</si>
  <si>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</si>
  <si>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</si>
  <si>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</si>
  <si>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</si>
  <si>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</si>
  <si>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</si>
  <si>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</si>
  <si>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</si>
  <si>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</si>
  <si>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</si>
  <si>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</si>
  <si>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</si>
  <si>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</si>
  <si>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</si>
  <si>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</si>
  <si>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</si>
  <si>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</si>
  <si>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</si>
  <si>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</si>
  <si>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</si>
  <si>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</si>
  <si>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</si>
  <si>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</si>
  <si>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</si>
  <si>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</si>
  <si>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</si>
  <si>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</si>
  <si>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</si>
  <si>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</si>
  <si>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</si>
  <si>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</si>
  <si>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</si>
  <si>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</si>
  <si>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</si>
  <si>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</si>
  <si>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</si>
  <si>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</si>
  <si>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</si>
  <si>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</si>
  <si>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</si>
  <si>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</si>
  <si>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</si>
  <si>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</si>
  <si>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</si>
  <si>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</si>
  <si>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</si>
  <si>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</si>
  <si>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</si>
  <si>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</si>
  <si>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</si>
  <si>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</si>
  <si>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</si>
  <si>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</si>
  <si>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</si>
  <si>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</si>
  <si>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</si>
  <si>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</si>
  <si>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</si>
  <si>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</si>
  <si>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</si>
  <si>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</si>
  <si>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</si>
  <si>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</si>
  <si>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</si>
  <si>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</si>
  <si>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</si>
  <si>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</si>
  <si>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</si>
  <si>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</si>
  <si>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</si>
  <si>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</si>
  <si>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</si>
  <si>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</si>
  <si>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</si>
  <si>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</si>
  <si>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</si>
  <si>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</si>
  <si>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</si>
  <si>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</si>
  <si>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</si>
  <si>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</si>
  <si>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</si>
  <si>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</si>
  <si>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</si>
  <si>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</si>
  <si>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</si>
  <si>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</si>
  <si>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</si>
  <si>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</si>
  <si>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</si>
  <si>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</si>
  <si>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</si>
  <si>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</si>
  <si>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</si>
  <si>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</si>
  <si>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</si>
  <si>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</si>
  <si>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</si>
  <si>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</si>
  <si>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</si>
  <si>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</si>
  <si>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</si>
  <si>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</si>
  <si>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</si>
  <si>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</si>
  <si>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</si>
  <si>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</si>
  <si>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</si>
  <si>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</si>
  <si>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</si>
  <si>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</si>
  <si>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</si>
  <si>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</si>
  <si>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</si>
  <si>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</si>
  <si>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</si>
  <si>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</si>
  <si>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</si>
  <si>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</si>
  <si>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</si>
  <si>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</si>
  <si>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</si>
  <si>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</si>
  <si>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</si>
  <si>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</si>
  <si>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</si>
  <si>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</si>
  <si>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</si>
  <si>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</si>
  <si>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</si>
  <si>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</si>
  <si>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</si>
  <si>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</si>
  <si>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</si>
  <si>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</si>
  <si>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</si>
  <si>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</si>
  <si>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</si>
  <si>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</si>
  <si>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</si>
  <si>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</si>
  <si>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</si>
  <si>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</si>
  <si>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</si>
  <si>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</si>
  <si>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</si>
  <si>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</si>
  <si>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</si>
  <si>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</si>
  <si>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</si>
  <si>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</si>
  <si>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</si>
  <si>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</si>
  <si>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</si>
  <si>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</si>
  <si>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</si>
  <si>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</si>
  <si>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</si>
  <si>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</si>
  <si>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</si>
  <si>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</si>
  <si>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</si>
  <si>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</si>
  <si>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</si>
  <si>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</si>
  <si>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</si>
  <si>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</si>
  <si>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</si>
  <si>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</si>
  <si>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</si>
  <si>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</si>
  <si>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</si>
  <si>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</si>
  <si>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</si>
  <si>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</si>
  <si>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</si>
  <si>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</si>
  <si>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</si>
  <si>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</si>
  <si>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</si>
  <si>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</si>
  <si>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</si>
  <si>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</si>
  <si>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</si>
  <si>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</si>
  <si>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</si>
  <si>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</si>
  <si>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</si>
  <si>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</si>
  <si>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</si>
  <si>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</si>
  <si>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</si>
  <si>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</si>
  <si>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</si>
  <si>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</si>
  <si>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</si>
  <si>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</si>
  <si>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</si>
  <si>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</si>
  <si>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</si>
  <si>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</si>
  <si>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</si>
  <si>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</si>
  <si>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</si>
  <si>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</si>
  <si>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</si>
  <si>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</si>
  <si>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</si>
  <si>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</si>
  <si>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</si>
  <si>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</si>
  <si>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</si>
  <si>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</si>
  <si>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</si>
  <si>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</si>
  <si>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</si>
  <si>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</si>
  <si>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</si>
  <si>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</si>
  <si>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</si>
  <si>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</si>
  <si>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</si>
  <si>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</si>
  <si>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</si>
  <si>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</si>
  <si>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</si>
  <si>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</si>
  <si>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</si>
  <si>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</si>
  <si>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</si>
  <si>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</si>
  <si>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</si>
  <si>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</si>
  <si>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</si>
  <si>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</si>
  <si>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</si>
  <si>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</si>
  <si>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</si>
  <si>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</si>
  <si>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</si>
  <si>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</si>
  <si>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</si>
  <si>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</si>
  <si>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</si>
  <si>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</si>
  <si>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</si>
  <si>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</si>
  <si>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</si>
  <si>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</si>
  <si>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</si>
  <si>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</si>
  <si>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</si>
  <si>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</si>
  <si>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</si>
  <si>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</si>
  <si>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</si>
  <si>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</si>
  <si>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</si>
  <si>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</si>
  <si>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</si>
  <si>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</si>
  <si>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</si>
  <si>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</si>
  <si>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</si>
  <si>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</si>
  <si>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</si>
  <si>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</si>
  <si>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</si>
  <si>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</si>
  <si>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</si>
  <si>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</si>
  <si>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</si>
  <si>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</si>
  <si>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</si>
  <si>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</si>
  <si>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</si>
  <si>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</si>
  <si>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</si>
  <si>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</si>
  <si>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</si>
  <si>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</si>
  <si>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</si>
  <si>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</si>
  <si>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</si>
  <si>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</si>
  <si>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</si>
  <si>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</si>
  <si>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</si>
  <si>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</si>
  <si>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</si>
  <si>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</si>
  <si>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</si>
  <si>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</si>
  <si>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</si>
  <si>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</si>
  <si>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</si>
  <si>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</si>
  <si>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</si>
  <si>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</si>
  <si>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</si>
  <si>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</si>
  <si>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</si>
  <si>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</si>
  <si>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</si>
  <si>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</si>
  <si>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</si>
  <si>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</si>
  <si>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</si>
  <si>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</si>
  <si>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</si>
  <si>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</si>
  <si>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</si>
  <si>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</si>
  <si>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</si>
  <si>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</si>
  <si>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</si>
  <si>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</si>
  <si>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</si>
  <si>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</si>
  <si>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</si>
  <si>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</si>
  <si>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</si>
  <si>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</si>
  <si>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</si>
  <si>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</si>
  <si>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</si>
  <si>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</si>
  <si>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</si>
  <si>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</si>
  <si>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</si>
  <si>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</si>
  <si>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</si>
  <si>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</si>
  <si>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</si>
  <si>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</si>
  <si>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</si>
  <si>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</si>
  <si>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</si>
  <si>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</si>
  <si>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</si>
  <si>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</si>
  <si>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</si>
  <si>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</si>
  <si>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</si>
  <si>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</si>
  <si>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</si>
  <si>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</si>
  <si>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</si>
  <si>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</si>
  <si>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</si>
  <si>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</si>
  <si>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</si>
  <si>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</si>
  <si>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</si>
  <si>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</si>
  <si>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</si>
  <si>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</si>
  <si>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</si>
  <si>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</si>
  <si>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</si>
  <si>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</si>
  <si>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</si>
  <si>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</si>
  <si>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</si>
  <si>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</si>
  <si>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</si>
  <si>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</si>
  <si>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</si>
  <si>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</si>
  <si>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</si>
  <si>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</si>
  <si>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</si>
  <si>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</si>
  <si>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</si>
  <si>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</si>
  <si>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</si>
  <si>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</si>
  <si>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</si>
  <si>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</si>
  <si>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</si>
  <si>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</si>
  <si>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</si>
  <si>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</si>
  <si>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</si>
  <si>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</si>
  <si>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</si>
  <si>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</si>
  <si>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</si>
  <si>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</si>
  <si>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</si>
  <si>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</si>
  <si>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</si>
  <si>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</si>
  <si>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</si>
  <si>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</si>
  <si>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</si>
  <si>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</si>
  <si>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</si>
  <si>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</si>
  <si>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</si>
  <si>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</si>
  <si>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</si>
  <si>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</si>
  <si>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</si>
  <si>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</si>
  <si>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</si>
  <si>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</si>
  <si>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</si>
  <si>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</si>
  <si>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</si>
  <si>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</si>
  <si>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</si>
  <si>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</si>
  <si>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</si>
  <si>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</si>
  <si>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</si>
  <si>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</si>
  <si>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</si>
  <si>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</si>
  <si>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</si>
  <si>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</si>
  <si>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</si>
  <si>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</si>
  <si>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</si>
  <si>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</si>
  <si>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</si>
  <si>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</si>
  <si>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</si>
  <si>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</si>
  <si>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</si>
  <si>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</si>
  <si>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</si>
  <si>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</si>
  <si>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</si>
  <si>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</si>
  <si>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</si>
  <si>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</si>
  <si>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</si>
  <si>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</si>
  <si>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</si>
  <si>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</si>
  <si>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</si>
  <si>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</si>
  <si>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</si>
  <si>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</si>
  <si>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</si>
  <si>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</si>
  <si>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</si>
  <si>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</si>
  <si>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</si>
  <si>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</si>
  <si>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</si>
  <si>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</si>
  <si>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</si>
  <si>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</si>
  <si>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</si>
  <si>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</si>
  <si>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</si>
  <si>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</si>
  <si>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</si>
  <si>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</si>
  <si>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</si>
  <si>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</si>
  <si>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</si>
  <si>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</si>
  <si>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</si>
  <si>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</si>
  <si>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</si>
  <si>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</si>
  <si>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</si>
  <si>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</si>
  <si>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</si>
  <si>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</si>
  <si>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</si>
  <si>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</si>
  <si>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</si>
  <si>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</si>
  <si>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</si>
  <si>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</si>
  <si>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</si>
  <si>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</si>
  <si>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</si>
  <si>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</si>
  <si>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</si>
  <si>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</si>
  <si>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</si>
  <si>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</si>
  <si>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</si>
  <si>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</si>
  <si>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</si>
  <si>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</si>
  <si>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</si>
  <si>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</si>
  <si>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</si>
  <si>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</si>
  <si>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</si>
  <si>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</si>
  <si>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</si>
  <si>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</si>
  <si>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</si>
  <si>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</si>
  <si>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</si>
  <si>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</si>
  <si>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</si>
  <si>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</si>
  <si>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</si>
  <si>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</si>
  <si>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</si>
  <si>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</si>
  <si>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</si>
  <si>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</si>
  <si>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</si>
  <si>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</si>
  <si>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</si>
  <si>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</si>
  <si>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</si>
  <si>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</si>
  <si>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</si>
  <si>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</si>
  <si>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</si>
  <si>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</si>
  <si>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</si>
  <si>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</si>
  <si>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</si>
  <si>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</si>
  <si>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</si>
  <si>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</si>
  <si>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</si>
  <si>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</si>
  <si>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</si>
  <si>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</si>
  <si>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</si>
  <si>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</si>
  <si>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</si>
  <si>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</si>
  <si>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</si>
  <si>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</si>
  <si>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</si>
  <si>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</si>
  <si>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</si>
  <si>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</si>
  <si>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</si>
  <si>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</si>
  <si>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</si>
  <si>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</si>
  <si>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</si>
  <si>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</si>
  <si>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</si>
  <si>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</si>
  <si>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</si>
  <si>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</si>
  <si>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</si>
  <si>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</si>
  <si>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</si>
  <si>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</si>
  <si>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</si>
  <si>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</si>
  <si>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</si>
  <si>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</si>
  <si>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</si>
  <si>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</si>
  <si>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</si>
  <si>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</si>
  <si>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</si>
  <si>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</si>
  <si>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</si>
  <si>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</si>
  <si>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</si>
  <si>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</si>
  <si>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</si>
  <si>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</si>
  <si>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</si>
  <si>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</si>
  <si>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</si>
  <si>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</si>
  <si>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</si>
  <si>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</si>
  <si>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</si>
  <si>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</si>
  <si>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</si>
  <si>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</si>
  <si>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</si>
  <si>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</si>
  <si>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</si>
  <si>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</si>
  <si>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</si>
  <si>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</si>
  <si>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</si>
  <si>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</si>
  <si>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</si>
  <si>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</si>
  <si>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</si>
  <si>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</si>
  <si>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</si>
  <si>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</si>
  <si>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</si>
  <si>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</si>
  <si>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</si>
  <si>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</si>
  <si>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</si>
  <si>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</si>
  <si>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</si>
  <si>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</si>
  <si>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</si>
  <si>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</si>
  <si>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</si>
  <si>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</si>
  <si>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</si>
  <si>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</si>
  <si>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</si>
  <si>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</si>
  <si>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</si>
  <si>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</si>
  <si>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</si>
  <si>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</si>
  <si>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</si>
  <si>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</si>
  <si>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</si>
  <si>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</si>
  <si>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</si>
  <si>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</si>
  <si>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</si>
  <si>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</si>
  <si>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</si>
  <si>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</si>
  <si>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</si>
  <si>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</si>
  <si>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</si>
  <si>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</si>
  <si>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</si>
  <si>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</si>
  <si>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</si>
  <si>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</si>
  <si>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</si>
  <si>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</si>
  <si>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</si>
  <si>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</si>
  <si>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</si>
  <si>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</si>
  <si>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</si>
  <si>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</si>
  <si>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</si>
  <si>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</si>
  <si>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</si>
  <si>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</si>
  <si>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</si>
  <si>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</si>
  <si>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</si>
  <si>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</si>
  <si>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</si>
  <si>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</si>
  <si>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</si>
  <si>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</si>
  <si>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</si>
  <si>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</si>
  <si>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</si>
  <si>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</si>
  <si>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</si>
  <si>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</si>
  <si>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</si>
  <si>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</si>
  <si>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</si>
  <si>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</si>
  <si>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</si>
  <si>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</si>
  <si>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</si>
  <si>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</si>
  <si>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</si>
  <si>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</si>
  <si>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</si>
  <si>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</si>
  <si>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</si>
  <si>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</si>
  <si>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</si>
  <si>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</si>
  <si>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</si>
  <si>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</si>
  <si>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</si>
  <si>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</si>
  <si>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</si>
  <si>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</si>
  <si>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</si>
  <si>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</si>
  <si>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</si>
  <si>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</si>
  <si>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</si>
  <si>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</si>
  <si>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</si>
  <si>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</si>
  <si>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</si>
  <si>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</si>
  <si>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</si>
  <si>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</si>
  <si>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</si>
  <si>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</si>
  <si>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</si>
  <si>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</si>
  <si>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</si>
  <si>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</si>
  <si>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</si>
  <si>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</si>
  <si>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</si>
  <si>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</si>
  <si>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</si>
  <si>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</si>
  <si>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</si>
  <si>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</si>
  <si>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</si>
  <si>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</si>
  <si>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</si>
  <si>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</si>
  <si>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</si>
  <si>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</si>
  <si>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</si>
  <si>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</si>
  <si>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</si>
  <si>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</si>
  <si>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</si>
  <si>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</si>
  <si>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</si>
  <si>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</si>
  <si>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</si>
  <si>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</si>
  <si>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</si>
  <si>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</si>
  <si>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</si>
  <si>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</si>
  <si>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</si>
  <si>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</si>
  <si>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</si>
  <si>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</si>
  <si>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</si>
  <si>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</si>
  <si>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</si>
  <si>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</si>
  <si>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</si>
  <si>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</si>
  <si>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</si>
  <si>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</si>
  <si>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</si>
  <si>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</si>
  <si>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</si>
  <si>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</si>
  <si>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</si>
  <si>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</si>
  <si>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</si>
  <si>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</si>
  <si>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</si>
  <si>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</si>
  <si>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</si>
  <si>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</si>
  <si>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</si>
  <si>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</si>
  <si>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</si>
  <si>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</si>
  <si>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</si>
  <si>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</si>
  <si>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</si>
  <si>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</si>
  <si>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</si>
  <si>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</si>
  <si>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</si>
  <si>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</si>
  <si>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</si>
  <si>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</si>
  <si>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</si>
  <si>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</si>
  <si>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</si>
  <si>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</si>
  <si>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</si>
  <si>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</si>
  <si>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</si>
  <si>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</si>
  <si>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</si>
  <si>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</si>
  <si>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</si>
  <si>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</si>
  <si>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</si>
  <si>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</si>
  <si>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</si>
  <si>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</si>
  <si>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</si>
  <si>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</si>
  <si>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</si>
  <si>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</si>
  <si>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</si>
  <si>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</si>
  <si>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</si>
  <si>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</si>
  <si>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</si>
  <si>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</si>
  <si>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</si>
  <si>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</si>
  <si>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</si>
  <si>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</si>
  <si>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</si>
  <si>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</si>
  <si>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</si>
  <si>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</si>
  <si>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</si>
  <si>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</si>
  <si>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</si>
  <si>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</si>
  <si>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</si>
  <si>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</si>
  <si>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</si>
  <si>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</si>
  <si>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</si>
  <si>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</si>
  <si>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</si>
  <si>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</si>
  <si>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</si>
  <si>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</si>
  <si>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</si>
  <si>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</si>
  <si>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</si>
  <si>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</si>
  <si>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</si>
  <si>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</si>
  <si>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</si>
  <si>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</si>
  <si>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</si>
  <si>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</si>
  <si>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</si>
  <si>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</si>
  <si>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</si>
  <si>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</si>
  <si>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</si>
  <si>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</si>
  <si>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</si>
  <si>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</si>
  <si>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</si>
  <si>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</si>
  <si>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</si>
  <si>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</si>
  <si>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</si>
  <si>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</si>
  <si>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</si>
  <si>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</si>
  <si>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</si>
  <si>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</si>
  <si>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</si>
  <si>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</si>
  <si>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</si>
  <si>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</si>
  <si>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</si>
  <si>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</si>
  <si>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</si>
  <si>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</si>
  <si>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</si>
  <si>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</si>
  <si>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</si>
  <si>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</si>
  <si>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</si>
  <si>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</si>
  <si>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</si>
  <si>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</si>
  <si>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</si>
  <si>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</si>
  <si>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</si>
  <si>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</si>
  <si>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</si>
  <si>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</si>
  <si>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</si>
  <si>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</si>
  <si>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</si>
  <si>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</si>
  <si>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</si>
  <si>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</si>
  <si>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</si>
  <si>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</si>
  <si>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</si>
  <si>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</si>
  <si>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</si>
  <si>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</si>
  <si>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</si>
  <si>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</si>
  <si>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</si>
  <si>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</si>
  <si>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</si>
  <si>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</si>
  <si>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</si>
  <si>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</si>
  <si>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</si>
  <si>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</si>
  <si>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</si>
  <si>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</si>
  <si>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</si>
  <si>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</si>
  <si>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</si>
  <si>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</si>
  <si>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</si>
  <si>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</si>
  <si>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</si>
  <si>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</si>
  <si>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</si>
  <si>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</si>
  <si>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</si>
  <si>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</si>
  <si>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</si>
  <si>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</si>
  <si>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</si>
  <si>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</si>
  <si>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</si>
  <si>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</si>
  <si>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</si>
  <si>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</si>
  <si>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</si>
  <si>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</si>
  <si>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</si>
  <si>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</si>
  <si>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</si>
  <si>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</si>
  <si>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</si>
  <si>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</si>
  <si>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</si>
  <si>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</si>
  <si>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</si>
  <si>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</si>
  <si>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</si>
  <si>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</si>
  <si>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</si>
  <si>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</si>
  <si>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</si>
  <si>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</si>
  <si>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</si>
  <si>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</si>
  <si>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</si>
  <si>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</si>
  <si>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</si>
  <si>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</si>
  <si>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</si>
  <si>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</si>
  <si>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</si>
  <si>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</si>
  <si>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</si>
  <si>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</si>
  <si>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</si>
  <si>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</si>
  <si>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</si>
  <si>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</si>
  <si>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</si>
  <si>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</si>
  <si>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</si>
  <si>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</si>
  <si>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</si>
  <si>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</si>
  <si>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</si>
  <si>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</si>
  <si>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</si>
  <si>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</si>
  <si>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</si>
  <si>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</si>
  <si>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</si>
  <si>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</si>
  <si>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</si>
  <si>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</si>
  <si>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</si>
  <si>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</si>
  <si>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</si>
  <si>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</si>
  <si>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</si>
  <si>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</si>
  <si>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</si>
  <si>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</si>
  <si>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</si>
  <si>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</si>
  <si>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</si>
  <si>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</si>
  <si>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</si>
  <si>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</si>
  <si>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</si>
  <si>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</si>
  <si>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</si>
  <si>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</si>
  <si>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</si>
  <si>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</si>
  <si>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</si>
  <si>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</si>
  <si>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</si>
  <si>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</si>
  <si>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</si>
  <si>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</si>
  <si>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</si>
  <si>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</si>
  <si>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</si>
  <si>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</si>
  <si>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</si>
  <si>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</si>
  <si>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</si>
  <si>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</si>
  <si>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</si>
  <si>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</si>
  <si>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</si>
  <si>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</si>
  <si>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</si>
  <si>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</si>
  <si>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</si>
  <si>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</si>
  <si>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</si>
  <si>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</si>
  <si>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</si>
  <si>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</si>
  <si>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</si>
  <si>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</si>
  <si>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</si>
  <si>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</si>
  <si>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</si>
  <si>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</si>
  <si>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</si>
  <si>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</si>
  <si>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</si>
  <si>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</si>
  <si>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</si>
  <si>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</si>
  <si>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</si>
  <si>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</si>
  <si>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</si>
  <si>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</si>
  <si>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</si>
  <si>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</si>
  <si>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</si>
  <si>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</si>
  <si>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</si>
  <si>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</si>
  <si>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</si>
  <si>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</si>
  <si>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</si>
  <si>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</si>
  <si>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</si>
  <si>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</si>
  <si>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</si>
  <si>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</si>
  <si>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</si>
  <si>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</si>
  <si>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</si>
  <si>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</si>
  <si>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</si>
  <si>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</si>
  <si>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</si>
  <si>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</si>
  <si>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</si>
  <si>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</si>
  <si>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</si>
  <si>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</si>
  <si>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</si>
  <si>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</si>
  <si>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</si>
  <si>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</si>
  <si>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</si>
  <si>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</si>
  <si>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</si>
  <si>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</si>
  <si>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</si>
  <si>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</si>
  <si>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</si>
  <si>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</si>
  <si>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</si>
  <si>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</si>
  <si>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</si>
  <si>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</si>
  <si>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</si>
  <si>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</si>
  <si>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</si>
  <si>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</si>
  <si>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</si>
  <si>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</si>
  <si>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</si>
  <si>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</si>
  <si>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</si>
  <si>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</si>
  <si>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</si>
  <si>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</si>
  <si>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</si>
  <si>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</si>
  <si>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</si>
  <si>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</si>
  <si>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</si>
  <si>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</si>
  <si>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</si>
  <si>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</si>
  <si>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</si>
  <si>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</si>
  <si>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</si>
  <si>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</si>
  <si>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</si>
  <si>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</si>
  <si>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</si>
  <si>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</si>
  <si>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</si>
  <si>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</si>
  <si>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</si>
  <si>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</si>
  <si>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</si>
  <si>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</si>
  <si>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</si>
  <si>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</si>
  <si>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</si>
  <si>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</si>
  <si>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</si>
  <si>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</si>
  <si>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</si>
  <si>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</si>
  <si>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</si>
  <si>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</si>
  <si>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</si>
  <si>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</si>
  <si>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</si>
  <si>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</si>
  <si>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</si>
  <si>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</si>
  <si>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</si>
  <si>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</si>
  <si>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</si>
  <si>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</si>
  <si>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</si>
  <si>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</si>
  <si>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</si>
  <si>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</si>
  <si>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</si>
  <si>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</si>
  <si>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</si>
  <si>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</si>
  <si>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</si>
  <si>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</si>
  <si>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</si>
  <si>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</si>
  <si>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</si>
  <si>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</si>
  <si>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</si>
  <si>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</si>
  <si>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</si>
  <si>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</si>
  <si>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</si>
  <si>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</si>
  <si>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</si>
  <si>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</si>
  <si>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</si>
  <si>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</si>
  <si>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</si>
  <si>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</si>
  <si>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</si>
  <si>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</si>
  <si>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</si>
  <si>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</si>
  <si>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</si>
  <si>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</si>
  <si>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</si>
  <si>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</si>
  <si>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</si>
  <si>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</si>
  <si>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</si>
  <si>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</si>
  <si>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</si>
  <si>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</si>
  <si>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</si>
  <si>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</si>
  <si>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</si>
  <si>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</si>
  <si>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</si>
  <si>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</si>
  <si>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</si>
  <si>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</si>
  <si>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</si>
  <si>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</si>
  <si>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</si>
  <si>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</si>
  <si>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</si>
  <si>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</si>
  <si>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</si>
  <si>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</si>
  <si>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</si>
  <si>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</si>
  <si>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</si>
  <si>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</si>
  <si>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</si>
  <si>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</si>
  <si>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</si>
  <si>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</si>
  <si>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</si>
  <si>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</si>
  <si>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</si>
  <si>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</si>
  <si>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</si>
  <si>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</si>
  <si>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</si>
  <si>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</si>
  <si>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</si>
  <si>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</si>
  <si>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</si>
  <si>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</si>
  <si>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</si>
  <si>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</si>
  <si>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</si>
  <si>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</si>
  <si>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</si>
  <si>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</si>
  <si>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</si>
  <si>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</si>
  <si>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</si>
  <si>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</si>
  <si>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</si>
  <si>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</si>
  <si>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</si>
  <si>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</si>
  <si>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</si>
  <si>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</si>
  <si>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</si>
  <si>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</si>
  <si>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</si>
  <si>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</si>
  <si>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</si>
  <si>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</si>
  <si>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</si>
  <si>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</si>
  <si>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</si>
  <si>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</si>
  <si>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</si>
  <si>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</si>
  <si>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</si>
  <si>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</si>
  <si>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</si>
  <si>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</si>
  <si>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</si>
  <si>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</si>
  <si>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</si>
  <si>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</si>
  <si>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</si>
  <si>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</si>
  <si>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</si>
  <si>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</si>
  <si>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</si>
  <si>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</si>
  <si>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</si>
  <si>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</si>
  <si>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</si>
  <si>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</si>
  <si>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</si>
  <si>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</si>
  <si>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</si>
  <si>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</si>
  <si>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</si>
  <si>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</si>
  <si>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</si>
  <si>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</si>
  <si>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</si>
  <si>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</si>
  <si>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</si>
  <si>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</si>
  <si>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</si>
  <si>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</si>
  <si>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</si>
  <si>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</si>
  <si>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</si>
  <si>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</si>
  <si>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</si>
  <si>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</si>
  <si>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</si>
  <si>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</si>
  <si>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</si>
  <si>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</si>
  <si>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</si>
  <si>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</si>
  <si>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</si>
  <si>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</si>
  <si>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</si>
  <si>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</si>
  <si>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</si>
  <si>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</si>
  <si>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</si>
  <si>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</si>
  <si>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</si>
  <si>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</si>
  <si>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</si>
  <si>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</si>
  <si>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</si>
  <si>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</si>
  <si>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</si>
  <si>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</si>
  <si>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</si>
  <si>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</si>
  <si>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</si>
  <si>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</si>
  <si>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</si>
  <si>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</si>
  <si>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</si>
  <si>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</si>
  <si>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</si>
  <si>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</si>
  <si>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</si>
  <si>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</si>
  <si>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</si>
  <si>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</si>
  <si>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</si>
  <si>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</si>
  <si>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</si>
  <si>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</si>
  <si>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</si>
  <si>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</si>
  <si>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</si>
  <si>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</si>
  <si>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</si>
  <si>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</si>
  <si>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</si>
  <si>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</si>
  <si>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</si>
  <si>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</si>
  <si>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</si>
  <si>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</si>
  <si>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</si>
  <si>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</si>
  <si>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</si>
  <si>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</si>
  <si>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</si>
  <si>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</si>
  <si>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</si>
  <si>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</si>
  <si>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</si>
  <si>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</si>
  <si>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</si>
  <si>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</si>
  <si>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</si>
  <si>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</si>
  <si>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</si>
  <si>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</si>
  <si>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</si>
  <si>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</si>
  <si>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</si>
  <si>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</si>
  <si>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</si>
  <si>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</si>
  <si>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</si>
  <si>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</si>
  <si>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</si>
  <si>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</si>
  <si>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</si>
  <si>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</si>
  <si>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</si>
  <si>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</si>
  <si>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</si>
  <si>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</si>
  <si>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</si>
  <si>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</si>
  <si>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</si>
  <si>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</si>
  <si>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</si>
  <si>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</si>
  <si>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</si>
  <si>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</si>
  <si>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</si>
  <si>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</si>
  <si>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</si>
  <si>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</si>
  <si>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</si>
  <si>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</si>
  <si>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</si>
  <si>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</si>
  <si>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</si>
  <si>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</si>
  <si>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</si>
  <si>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</si>
  <si>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</si>
  <si>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</si>
  <si>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</si>
  <si>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</si>
  <si>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</si>
  <si>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</si>
  <si>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</si>
  <si>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</si>
  <si>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</si>
  <si>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</si>
  <si>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</si>
  <si>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</si>
  <si>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</si>
  <si>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</si>
  <si>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</si>
  <si>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</si>
  <si>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</si>
  <si>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</si>
  <si>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</si>
  <si>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</si>
  <si>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</si>
  <si>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</si>
  <si>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</si>
  <si>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</si>
  <si>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</si>
  <si>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</si>
  <si>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</si>
  <si>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</si>
  <si>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</si>
  <si>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</si>
  <si>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</si>
  <si>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</si>
  <si>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</si>
  <si>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</si>
  <si>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</si>
  <si>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</si>
  <si>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</si>
  <si>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</si>
  <si>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</si>
  <si>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</si>
  <si>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</si>
  <si>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</si>
  <si>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</si>
  <si>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</si>
  <si>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</si>
  <si>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</si>
  <si>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</si>
  <si>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</si>
  <si>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</si>
  <si>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</si>
  <si>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</si>
  <si>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</si>
  <si>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</si>
  <si>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</si>
  <si>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</si>
  <si>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</si>
  <si>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</si>
  <si>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</si>
  <si>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</si>
  <si>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</si>
  <si>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</si>
  <si>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</si>
  <si>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</si>
  <si>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</si>
  <si>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</si>
  <si>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</si>
  <si>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</si>
  <si>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</si>
  <si>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</si>
  <si>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</si>
  <si>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</si>
  <si>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</si>
  <si>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</si>
  <si>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</si>
  <si>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</si>
  <si>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</si>
  <si>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</si>
  <si>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</si>
  <si>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</si>
  <si>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</si>
  <si>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</si>
  <si>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</si>
  <si>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</si>
  <si>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</si>
  <si>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</si>
  <si>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</si>
  <si>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</si>
  <si>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</si>
  <si>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</si>
  <si>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</si>
  <si>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</si>
  <si>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</si>
  <si>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</si>
  <si>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</si>
  <si>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</si>
  <si>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</si>
  <si>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</si>
  <si>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</si>
  <si>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</si>
  <si>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</si>
  <si>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</si>
  <si>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</si>
  <si>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</si>
  <si>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</si>
  <si>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</si>
  <si>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</si>
  <si>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</si>
  <si>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</si>
  <si>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</si>
  <si>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</si>
  <si>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</si>
  <si>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</si>
  <si>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</si>
  <si>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</si>
  <si>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</si>
  <si>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</si>
  <si>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</si>
  <si>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</si>
  <si>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</si>
  <si>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</si>
  <si>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</si>
  <si>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</si>
  <si>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</si>
  <si>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</si>
  <si>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</si>
  <si>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</si>
  <si>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</si>
  <si>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</si>
  <si>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</si>
  <si>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</si>
  <si>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</si>
  <si>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</si>
  <si>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</si>
  <si>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</si>
  <si>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</si>
  <si>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</si>
  <si>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</si>
  <si>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</si>
  <si>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</si>
  <si>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</si>
  <si>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</si>
  <si>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</si>
  <si>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</si>
  <si>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</si>
  <si>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</si>
  <si>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</si>
  <si>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</si>
  <si>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</si>
  <si>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</si>
  <si>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</si>
  <si>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</si>
  <si>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</si>
  <si>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</si>
  <si>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</si>
  <si>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</si>
  <si>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</si>
  <si>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</si>
  <si>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</si>
  <si>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</si>
  <si>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</si>
  <si>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</si>
  <si>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</si>
  <si>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</si>
  <si>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</si>
  <si>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</si>
  <si>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</si>
  <si>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</si>
  <si>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</si>
  <si>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</si>
  <si>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</si>
  <si>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</si>
  <si>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</si>
  <si>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</si>
  <si>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</si>
  <si>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</si>
  <si>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</si>
  <si>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</si>
  <si>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</si>
  <si>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</si>
  <si>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</si>
  <si>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</si>
  <si>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</si>
  <si>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</si>
  <si>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</si>
  <si>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</si>
  <si>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</si>
  <si>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</si>
  <si>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</si>
  <si>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</si>
  <si>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</si>
  <si>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</si>
  <si>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</si>
  <si>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</si>
  <si>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</si>
  <si>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</si>
  <si>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</si>
  <si>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</si>
  <si>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</si>
  <si>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</si>
  <si>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</si>
  <si>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</si>
  <si>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</si>
  <si>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</si>
  <si>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</si>
  <si>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</si>
  <si>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</si>
  <si>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</si>
  <si>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</si>
  <si>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</si>
  <si>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</si>
  <si>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</si>
  <si>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</si>
  <si>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</si>
  <si>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</si>
  <si>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</si>
  <si>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</si>
  <si>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</si>
  <si>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</si>
  <si>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</si>
  <si>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</si>
  <si>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</si>
  <si>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</si>
  <si>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</si>
  <si>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</si>
  <si>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</si>
  <si>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</si>
  <si>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</si>
  <si>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</si>
  <si>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</si>
  <si>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</si>
  <si>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</si>
  <si>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</si>
  <si>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</si>
  <si>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</si>
  <si>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</si>
  <si>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</si>
  <si>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</si>
  <si>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</si>
  <si>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</si>
  <si>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</si>
  <si>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</si>
  <si>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</si>
  <si>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</si>
  <si>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</si>
  <si>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</si>
  <si>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</si>
  <si>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</si>
  <si>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</si>
  <si>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</si>
  <si>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</si>
  <si>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</si>
  <si>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</si>
  <si>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</si>
  <si>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</si>
  <si>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</si>
  <si>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</si>
  <si>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</si>
  <si>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</si>
  <si>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</si>
  <si>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</si>
  <si>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</si>
  <si>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</si>
  <si>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</si>
  <si>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</si>
  <si>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</si>
  <si>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</si>
  <si>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</si>
  <si>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</si>
  <si>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</si>
  <si>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</si>
  <si>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</si>
  <si>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</si>
  <si>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</si>
  <si>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</si>
  <si>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</si>
  <si>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</si>
  <si>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</si>
  <si>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</si>
  <si>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</si>
  <si>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</si>
  <si>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</si>
  <si>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</si>
  <si>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</si>
  <si>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</si>
  <si>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</si>
  <si>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</si>
  <si>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</si>
  <si>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</si>
  <si>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</si>
  <si>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</si>
  <si>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</si>
  <si>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</si>
  <si>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</si>
  <si>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</si>
  <si>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</si>
  <si>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</si>
  <si>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</si>
  <si>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</si>
  <si>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</si>
  <si>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</si>
  <si>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</si>
  <si>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</si>
  <si>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</si>
  <si>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</si>
  <si>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</si>
  <si>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</si>
  <si>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</si>
  <si>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</si>
  <si>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</si>
  <si>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</si>
  <si>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</si>
  <si>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</si>
  <si>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</si>
  <si>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</si>
  <si>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</si>
  <si>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</si>
  <si>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</si>
  <si>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</si>
  <si>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</si>
  <si>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</si>
  <si>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</si>
  <si>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</si>
  <si>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</si>
  <si>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</si>
  <si>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</si>
  <si>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</si>
  <si>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</si>
  <si>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</si>
  <si>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</si>
  <si>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</si>
  <si>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</si>
  <si>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</si>
  <si>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</si>
  <si>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</si>
  <si>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</si>
  <si>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</si>
  <si>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</si>
  <si>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</si>
  <si>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</si>
  <si>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</si>
  <si>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</si>
  <si>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</si>
  <si>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</si>
  <si>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</si>
  <si>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</si>
  <si>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</si>
  <si>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</si>
  <si>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</si>
  <si>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</si>
  <si>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</si>
  <si>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</si>
  <si>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</si>
  <si>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</si>
  <si>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</si>
  <si>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</si>
  <si>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</si>
  <si>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</si>
  <si>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</si>
  <si>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</si>
  <si>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</si>
  <si>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</si>
  <si>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</si>
  <si>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</si>
  <si>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</si>
  <si>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</si>
  <si>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</si>
  <si>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</si>
  <si>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</si>
  <si>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</si>
  <si>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</si>
  <si>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</si>
  <si>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</si>
  <si>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</si>
  <si>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</si>
  <si>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</si>
  <si>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</si>
  <si>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</si>
  <si>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</si>
  <si>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</si>
  <si>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</si>
  <si>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</si>
  <si>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</si>
  <si>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</si>
  <si>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</si>
  <si>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</si>
  <si>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</si>
  <si>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</si>
  <si>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</si>
  <si>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</si>
  <si>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</si>
  <si>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</si>
  <si>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</si>
  <si>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</si>
  <si>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</si>
  <si>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</si>
  <si>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</si>
  <si>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</si>
  <si>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</si>
  <si>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</si>
  <si>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</si>
  <si>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</si>
  <si>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</si>
  <si>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</si>
  <si>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</si>
  <si>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</si>
  <si>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</si>
  <si>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</si>
  <si>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</si>
  <si>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</si>
  <si>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</si>
  <si>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</si>
  <si>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</si>
  <si>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</si>
  <si>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</si>
  <si>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</si>
  <si>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</si>
  <si>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</si>
  <si>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</si>
  <si>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</si>
  <si>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</si>
  <si>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</si>
  <si>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</si>
  <si>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</si>
  <si>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</si>
  <si>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</si>
  <si>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</si>
  <si>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</si>
  <si>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</si>
  <si>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</si>
  <si>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</si>
  <si>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</si>
  <si>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</si>
  <si>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</si>
  <si>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</si>
  <si>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</si>
  <si>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</si>
  <si>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</si>
  <si>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</si>
  <si>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</si>
  <si>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</si>
  <si>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</si>
  <si>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</si>
  <si>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</si>
  <si>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</si>
  <si>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</si>
  <si>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</si>
  <si>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</si>
  <si>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</si>
  <si>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</si>
  <si>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</si>
  <si>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</si>
  <si>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</si>
  <si>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</si>
  <si>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</si>
  <si>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</si>
  <si>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</si>
  <si>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</si>
  <si>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</si>
  <si>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</si>
  <si>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</si>
  <si>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</si>
  <si>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</si>
  <si>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</si>
  <si>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</si>
  <si>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</si>
  <si>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</si>
  <si>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</si>
  <si>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</si>
  <si>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</si>
  <si>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</si>
  <si>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</si>
  <si>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</si>
  <si>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</si>
  <si>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</si>
  <si>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</si>
  <si>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</si>
  <si>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</si>
  <si>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</si>
  <si>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</si>
  <si>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</si>
  <si>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</si>
  <si>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</si>
  <si>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</si>
  <si>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</si>
  <si>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</si>
  <si>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</si>
  <si>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</si>
  <si>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</si>
  <si>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</si>
  <si>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</si>
  <si>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</si>
  <si>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</si>
  <si>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</si>
  <si>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</si>
  <si>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</si>
  <si>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</si>
  <si>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</si>
  <si>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</si>
  <si>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</si>
  <si>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</si>
  <si>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</si>
  <si>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</si>
  <si>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</si>
  <si>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</si>
  <si>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</si>
  <si>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</si>
  <si>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</si>
  <si>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</si>
  <si>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</si>
  <si>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</si>
  <si>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</si>
  <si>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</si>
  <si>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</si>
  <si>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</si>
  <si>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</si>
  <si>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</si>
  <si>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</si>
  <si>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</si>
  <si>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</si>
  <si>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</si>
  <si>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</si>
  <si>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</si>
  <si>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</si>
  <si>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</si>
  <si>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</si>
  <si>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</si>
  <si>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</si>
  <si>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</si>
  <si>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</si>
  <si>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</si>
  <si>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</si>
  <si>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</si>
  <si>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</si>
  <si>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</si>
  <si>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</si>
  <si>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</si>
  <si>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</si>
  <si>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</si>
  <si>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</si>
  <si>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</si>
  <si>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</si>
  <si>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</si>
  <si>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</si>
  <si>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</si>
  <si>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</si>
  <si>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</si>
  <si>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</si>
  <si>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</si>
  <si>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</si>
  <si>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</si>
  <si>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</si>
  <si>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</si>
  <si>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</si>
  <si>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</si>
  <si>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</si>
  <si>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</si>
  <si>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</si>
  <si>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</si>
  <si>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</si>
  <si>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</si>
  <si>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</si>
  <si>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</si>
  <si>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</si>
  <si>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</si>
  <si>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</si>
  <si>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</si>
  <si>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</si>
  <si>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</si>
  <si>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</si>
  <si>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</si>
  <si>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</si>
  <si>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</si>
  <si>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</si>
  <si>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</si>
  <si>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</si>
  <si>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</si>
  <si>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</si>
  <si>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</si>
  <si>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</si>
  <si>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</si>
  <si>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</si>
  <si>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</si>
  <si>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</si>
  <si>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</si>
  <si>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</si>
  <si>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</si>
  <si>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</si>
  <si>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</si>
  <si>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</si>
  <si>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</si>
  <si>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</si>
  <si>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</si>
  <si>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</si>
  <si>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</si>
  <si>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</si>
  <si>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</si>
  <si>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</si>
  <si>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</si>
  <si>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</si>
  <si>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</si>
  <si>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</si>
  <si>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</si>
  <si>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</si>
  <si>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</si>
  <si>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</si>
  <si>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</si>
  <si>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</si>
  <si>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</si>
  <si>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</si>
  <si>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</si>
  <si>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</si>
  <si>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</si>
  <si>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</si>
  <si>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</si>
  <si>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</si>
  <si>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</si>
  <si>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</si>
  <si>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</si>
  <si>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</si>
  <si>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</si>
  <si>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</si>
  <si>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</si>
  <si>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</si>
  <si>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</si>
  <si>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</si>
  <si>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</si>
  <si>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</si>
  <si>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</si>
  <si>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</si>
  <si>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</si>
  <si>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</si>
  <si>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</si>
  <si>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</si>
  <si>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</si>
  <si>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</si>
  <si>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</si>
  <si>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</si>
  <si>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</si>
  <si>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</si>
  <si>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</si>
  <si>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</si>
  <si>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</si>
  <si>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</si>
  <si>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</si>
  <si>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</si>
  <si>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</si>
  <si>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</si>
  <si>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</si>
  <si>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</si>
  <si>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</si>
  <si>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</si>
  <si>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</si>
  <si>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</si>
  <si>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</si>
  <si>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</si>
  <si>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</si>
  <si>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</si>
  <si>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</si>
  <si>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</si>
  <si>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</si>
  <si>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</si>
  <si>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</si>
  <si>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</si>
  <si>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</si>
  <si>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</si>
  <si>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</si>
  <si>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</si>
  <si>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</si>
  <si>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</si>
  <si>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</si>
  <si>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</si>
  <si>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</si>
  <si>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</si>
  <si>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</si>
  <si>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</si>
  <si>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</si>
  <si>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</si>
  <si>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</si>
  <si>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</si>
  <si>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</si>
  <si>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</si>
  <si>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</si>
  <si>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</si>
  <si>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</si>
  <si>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</si>
  <si>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</si>
  <si>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</si>
  <si>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</si>
  <si>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</si>
  <si>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</si>
  <si>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</si>
  <si>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</si>
  <si>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</si>
  <si>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</si>
  <si>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</si>
  <si>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</si>
  <si>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</si>
  <si>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</si>
  <si>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</si>
  <si>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</si>
  <si>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</si>
  <si>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</si>
  <si>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</si>
  <si>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</si>
  <si>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</si>
  <si>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</si>
  <si>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</si>
  <si>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</si>
  <si>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</si>
  <si>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</si>
  <si>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</si>
  <si>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</si>
  <si>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</si>
  <si>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</si>
  <si>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</si>
  <si>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</si>
  <si>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</si>
  <si>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</si>
  <si>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</si>
  <si>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</si>
  <si>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</si>
  <si>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</si>
  <si>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</si>
  <si>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</si>
  <si>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</si>
  <si>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</si>
  <si>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</si>
  <si>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</si>
  <si>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</si>
  <si>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</si>
  <si>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</si>
  <si>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</si>
  <si>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</si>
  <si>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</si>
  <si>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</si>
  <si>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</si>
  <si>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</si>
  <si>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</si>
  <si>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</si>
  <si>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</si>
  <si>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</si>
  <si>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</si>
  <si>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</si>
  <si>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</si>
  <si>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</si>
  <si>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</si>
  <si>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</si>
  <si>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</si>
  <si>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</si>
  <si>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</si>
  <si>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</si>
  <si>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</si>
  <si>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</si>
  <si>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</si>
  <si>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</si>
  <si>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</si>
  <si>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</si>
  <si>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</si>
  <si>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</si>
  <si>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</si>
  <si>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</si>
  <si>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</si>
  <si>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</si>
  <si>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</si>
  <si>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</si>
  <si>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</si>
  <si>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</si>
  <si>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</si>
  <si>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</si>
  <si>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</si>
  <si>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</si>
  <si>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</si>
  <si>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</si>
  <si>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</si>
  <si>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</si>
  <si>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</si>
  <si>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</si>
  <si>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</si>
  <si>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</si>
  <si>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</si>
  <si>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</si>
  <si>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</si>
  <si>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</si>
  <si>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</si>
  <si>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</si>
  <si>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</si>
  <si>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</si>
  <si>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</si>
  <si>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</si>
  <si>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</si>
  <si>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</si>
  <si>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</si>
  <si>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</si>
  <si>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</si>
  <si>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</si>
  <si>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</si>
  <si>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</si>
  <si>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</si>
  <si>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</si>
  <si>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</si>
  <si>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</si>
  <si>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</si>
  <si>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</si>
  <si>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</si>
  <si>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</si>
  <si>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</si>
  <si>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</si>
  <si>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</si>
  <si>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</si>
  <si>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</si>
  <si>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</si>
  <si>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</si>
  <si>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</si>
  <si>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</si>
  <si>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</si>
  <si>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</si>
  <si>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</si>
  <si>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</si>
  <si>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</si>
  <si>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</si>
  <si>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</si>
  <si>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</si>
  <si>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</si>
  <si>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</si>
  <si>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</si>
  <si>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</si>
  <si>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</si>
  <si>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</si>
  <si>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</si>
  <si>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</si>
  <si>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</si>
  <si>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</si>
  <si>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</si>
  <si>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</si>
  <si>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</si>
  <si>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</si>
  <si>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</si>
  <si>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</si>
  <si>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</si>
  <si>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</si>
  <si>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</si>
  <si>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</si>
  <si>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</si>
  <si>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</si>
  <si>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</si>
  <si>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</si>
  <si>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</si>
  <si>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</si>
  <si>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</si>
  <si>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</si>
  <si>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</si>
  <si>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</si>
  <si>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</si>
  <si>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</si>
  <si>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</si>
  <si>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</si>
  <si>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</si>
  <si>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</si>
  <si>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</si>
  <si>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</si>
  <si>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</si>
  <si>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</si>
  <si>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</si>
  <si>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</si>
  <si>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</si>
  <si>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</si>
  <si>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</si>
  <si>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</si>
  <si>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</si>
  <si>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</si>
  <si>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</si>
  <si>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</si>
  <si>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</si>
  <si>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</si>
  <si>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</si>
  <si>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</si>
  <si>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</si>
  <si>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</si>
  <si>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</si>
  <si>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</si>
  <si>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</si>
  <si>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</si>
  <si>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</si>
  <si>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</si>
  <si>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</si>
  <si>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</si>
  <si>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</si>
  <si>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</si>
  <si>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</si>
  <si>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</si>
  <si>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</si>
  <si>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</si>
  <si>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</si>
  <si>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</si>
  <si>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</si>
  <si>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</si>
  <si>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</si>
  <si>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</si>
  <si>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</si>
  <si>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</si>
  <si>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</si>
  <si>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</si>
  <si>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</si>
  <si>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</si>
  <si>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</si>
  <si>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</si>
  <si>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</si>
  <si>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</si>
  <si>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</si>
  <si>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</si>
  <si>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</si>
  <si>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</si>
  <si>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</si>
  <si>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</si>
  <si>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</si>
  <si>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</si>
  <si>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</si>
  <si>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</si>
  <si>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</si>
  <si>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</si>
  <si>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</si>
  <si>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</si>
  <si>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</si>
  <si>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</si>
  <si>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</si>
  <si>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</si>
  <si>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</si>
  <si>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</si>
  <si>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</si>
  <si>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</si>
  <si>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</si>
  <si>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</si>
  <si>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</si>
  <si>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</si>
  <si>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</si>
  <si>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</si>
  <si>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</si>
  <si>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</si>
  <si>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</si>
  <si>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</si>
  <si>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</si>
  <si>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</si>
  <si>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</si>
  <si>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</si>
  <si>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</si>
  <si>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</si>
  <si>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</si>
  <si>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</si>
  <si>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</si>
  <si>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</si>
  <si>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</si>
  <si>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</si>
  <si>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</si>
  <si>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</si>
  <si>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</si>
  <si>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</si>
  <si>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</si>
  <si>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</si>
  <si>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</si>
  <si>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</si>
  <si>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</si>
  <si>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</si>
  <si>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</si>
  <si>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</si>
  <si>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</si>
  <si>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</si>
  <si>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</si>
  <si>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</si>
  <si>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</si>
  <si>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</si>
  <si>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</si>
  <si>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</si>
  <si>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</si>
  <si>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</si>
  <si>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</si>
  <si>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</si>
  <si>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</si>
  <si>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</si>
  <si>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</si>
  <si>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</si>
  <si>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</si>
  <si>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</si>
  <si>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</si>
  <si>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</si>
  <si>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</si>
  <si>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</si>
  <si>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</si>
  <si>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</si>
  <si>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</si>
  <si>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</si>
  <si>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</si>
  <si>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</si>
  <si>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</si>
  <si>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</si>
  <si>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</si>
  <si>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</si>
  <si>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</si>
  <si>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</si>
  <si>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</si>
  <si>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</si>
  <si>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</si>
  <si>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</si>
  <si>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</si>
  <si>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</si>
  <si>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</si>
  <si>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</si>
  <si>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</si>
  <si>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</si>
  <si>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</si>
  <si>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</si>
  <si>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</si>
  <si>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</si>
  <si>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</si>
  <si>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</si>
  <si>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</si>
  <si>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</si>
  <si>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</si>
  <si>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</si>
  <si>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</si>
  <si>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</si>
  <si>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</si>
  <si>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</si>
  <si>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</si>
  <si>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</si>
  <si>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</si>
  <si>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</si>
  <si>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</si>
  <si>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</si>
  <si>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</si>
  <si>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</si>
  <si>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</si>
  <si>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</si>
  <si>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</si>
  <si>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</si>
  <si>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</si>
  <si>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</si>
  <si>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</si>
  <si>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</si>
  <si>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</si>
  <si>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</si>
  <si>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</si>
  <si>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</si>
  <si>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</si>
  <si>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</si>
  <si>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</si>
  <si>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</si>
  <si>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</si>
  <si>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</si>
  <si>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</si>
  <si>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</si>
  <si>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</si>
  <si>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</si>
  <si>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</si>
  <si>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</si>
  <si>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</si>
  <si>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</si>
  <si>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</si>
  <si>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</si>
  <si>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</si>
  <si>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</si>
  <si>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</si>
  <si>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</si>
  <si>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</si>
  <si>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</si>
  <si>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</si>
  <si>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</si>
  <si>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</si>
  <si>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</si>
  <si>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</si>
  <si>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</si>
  <si>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</si>
  <si>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</si>
  <si>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</si>
  <si>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</si>
  <si>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</si>
  <si>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</si>
  <si>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</si>
  <si>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</si>
  <si>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</si>
  <si>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</si>
  <si>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</si>
  <si>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</si>
  <si>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</si>
  <si>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</si>
  <si>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</si>
  <si>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</si>
  <si>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</si>
  <si>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</si>
  <si>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</si>
  <si>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</si>
  <si>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</si>
  <si>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</si>
  <si>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</si>
  <si>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</si>
  <si>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</si>
  <si>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</si>
  <si>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</si>
  <si>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</si>
  <si>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</si>
  <si>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</si>
  <si>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</si>
  <si>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</si>
  <si>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</si>
  <si>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</si>
  <si>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</si>
  <si>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</si>
  <si>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</si>
  <si>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</si>
  <si>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</si>
  <si>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</si>
  <si>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</si>
  <si>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</si>
  <si>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</si>
  <si>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</si>
  <si>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</si>
  <si>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</si>
  <si>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</si>
  <si>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</si>
  <si>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</si>
  <si>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</si>
  <si>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</si>
  <si>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</si>
  <si>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</si>
  <si>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</si>
  <si>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</si>
  <si>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</si>
  <si>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</si>
  <si>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</si>
  <si>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</si>
  <si>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</si>
  <si>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</si>
  <si>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</si>
  <si>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</si>
  <si>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</si>
  <si>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</si>
  <si>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</si>
  <si>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</si>
  <si>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</si>
  <si>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</si>
  <si>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</si>
  <si>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</si>
  <si>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</si>
  <si>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</si>
  <si>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</si>
  <si>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</si>
  <si>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</si>
  <si>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</si>
  <si>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</si>
  <si>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</si>
  <si>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</si>
  <si>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</si>
  <si>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</si>
  <si>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</si>
  <si>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</si>
  <si>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</si>
  <si>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</si>
  <si>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</si>
  <si>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</si>
  <si>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</si>
  <si>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</si>
  <si>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</si>
  <si>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</si>
  <si>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</si>
  <si>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</si>
  <si>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</si>
  <si>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</si>
  <si>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</si>
  <si>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</si>
  <si>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</si>
  <si>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</si>
  <si>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</si>
  <si>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</si>
  <si>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</si>
  <si>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</si>
  <si>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</si>
  <si>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</si>
  <si>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</si>
  <si>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</si>
  <si>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</si>
  <si>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</si>
  <si>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</si>
  <si>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</si>
  <si>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</si>
  <si>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</si>
  <si>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</si>
  <si>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</si>
  <si>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</si>
  <si>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</si>
  <si>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</si>
  <si>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</si>
  <si>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</si>
  <si>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</si>
  <si>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</si>
  <si>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</si>
  <si>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</si>
  <si>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</si>
  <si>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</si>
  <si>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</si>
  <si>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</si>
  <si>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</si>
  <si>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</si>
  <si>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</si>
  <si>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</si>
  <si>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</si>
  <si>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</si>
  <si>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</si>
  <si>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</si>
  <si>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</si>
  <si>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</si>
  <si>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</si>
  <si>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</si>
  <si>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</si>
  <si>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</si>
  <si>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</si>
  <si>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</si>
  <si>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</si>
  <si>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</si>
  <si>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</si>
  <si>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</si>
  <si>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</si>
  <si>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</si>
  <si>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</si>
  <si>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</si>
  <si>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</si>
  <si>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</si>
  <si>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</si>
  <si>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</si>
  <si>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</si>
  <si>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</si>
  <si>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</si>
  <si>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</si>
  <si>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</si>
  <si>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</si>
  <si>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</si>
  <si>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</si>
  <si>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</si>
  <si>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</si>
  <si>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</si>
  <si>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</si>
  <si>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</si>
  <si>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</si>
  <si>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</si>
  <si>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</si>
  <si>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</si>
  <si>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</si>
  <si>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</si>
  <si>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</si>
  <si>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</si>
  <si>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</si>
  <si>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</si>
  <si>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</si>
  <si>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</si>
  <si>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</si>
  <si>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</si>
  <si>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</si>
  <si>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</si>
  <si>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</si>
  <si>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</si>
  <si>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</si>
  <si>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</si>
  <si>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</si>
  <si>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</si>
  <si>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</si>
  <si>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</si>
  <si>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</si>
  <si>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</si>
  <si>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</si>
  <si>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</si>
  <si>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</si>
  <si>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</si>
  <si>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</si>
  <si>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</si>
  <si>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</si>
  <si>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</si>
  <si>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</si>
  <si>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</si>
  <si>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</si>
  <si>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</si>
  <si>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</si>
  <si>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</si>
  <si>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</si>
  <si>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</si>
  <si>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</si>
  <si>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</si>
  <si>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</si>
  <si>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</si>
  <si>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</si>
  <si>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</si>
  <si>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</si>
  <si>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</si>
  <si>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</si>
  <si>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</si>
  <si>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</si>
  <si>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</si>
  <si>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</si>
  <si>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</si>
  <si>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</si>
  <si>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</si>
  <si>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</si>
  <si>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</si>
  <si>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</si>
  <si>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</si>
  <si>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</si>
  <si>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</si>
  <si>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</si>
  <si>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</si>
  <si>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</si>
  <si>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</si>
  <si>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</si>
  <si>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</si>
  <si>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</si>
  <si>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</si>
  <si>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</si>
  <si>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</si>
  <si>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</si>
  <si>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</si>
  <si>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</si>
  <si>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</si>
  <si>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</si>
  <si>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</si>
  <si>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</si>
  <si>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</si>
  <si>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</si>
  <si>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</si>
  <si>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</si>
  <si>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</si>
  <si>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</si>
  <si>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</si>
  <si>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</si>
  <si>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</si>
  <si>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</si>
  <si>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</si>
  <si>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</si>
  <si>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</si>
  <si>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</si>
  <si>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</si>
  <si>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</si>
  <si>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</si>
  <si>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</si>
  <si>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</si>
  <si>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</si>
  <si>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</si>
  <si>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</si>
  <si>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</si>
  <si>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</si>
  <si>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</si>
  <si>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</si>
  <si>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</si>
  <si>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</si>
  <si>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</si>
  <si>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</si>
  <si>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</si>
  <si>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</si>
  <si>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</si>
  <si>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</si>
  <si>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</si>
  <si>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</si>
  <si>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</si>
  <si>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</si>
  <si>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</si>
  <si>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</si>
  <si>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</si>
  <si>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</si>
  <si>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</si>
  <si>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</si>
  <si>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</si>
  <si>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</si>
  <si>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</si>
  <si>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</si>
  <si>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</si>
  <si>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</si>
  <si>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</si>
  <si>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</si>
  <si>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</si>
  <si>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</si>
  <si>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</si>
  <si>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</si>
  <si>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</si>
  <si>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</si>
  <si>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</si>
  <si>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</si>
  <si>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</si>
  <si>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</si>
  <si>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</si>
  <si>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</si>
  <si>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</si>
  <si>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</si>
  <si>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</si>
  <si>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</si>
  <si>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</si>
  <si>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</si>
  <si>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</si>
  <si>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</si>
  <si>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</si>
  <si>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</si>
  <si>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</si>
  <si>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</si>
  <si>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</si>
  <si>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</si>
  <si>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</si>
  <si>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</si>
  <si>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</si>
  <si>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</si>
  <si>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</si>
  <si>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</si>
  <si>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</si>
  <si>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</si>
  <si>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</si>
  <si>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</si>
  <si>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</si>
  <si>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</si>
  <si>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</si>
  <si>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</si>
  <si>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</si>
  <si>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</si>
  <si>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</si>
  <si>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</si>
  <si>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</si>
  <si>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</si>
  <si>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</si>
  <si>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</si>
  <si>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</si>
  <si>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</si>
  <si>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</si>
  <si>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</si>
  <si>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</si>
  <si>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</si>
  <si>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</si>
  <si>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</si>
  <si>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</si>
  <si>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</si>
  <si>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</si>
  <si>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</si>
  <si>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</si>
  <si>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</si>
  <si>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</si>
  <si>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</si>
  <si>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</si>
  <si>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</si>
  <si>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</si>
  <si>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</si>
  <si>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</si>
  <si>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</si>
  <si>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</si>
  <si>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</si>
  <si>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</si>
  <si>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</si>
  <si>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</si>
  <si>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</si>
  <si>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</si>
  <si>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</si>
  <si>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</si>
  <si>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</si>
  <si>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</si>
  <si>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</si>
  <si>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</si>
  <si>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</si>
  <si>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</si>
  <si>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</si>
  <si>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</si>
  <si>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</si>
  <si>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</si>
  <si>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</si>
  <si>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</si>
  <si>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</si>
  <si>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</si>
  <si>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</si>
  <si>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</si>
  <si>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</si>
  <si>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</si>
  <si>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</si>
  <si>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</si>
  <si>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</si>
  <si>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</si>
  <si>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</si>
  <si>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</si>
  <si>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</si>
  <si>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</si>
  <si>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</si>
  <si>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</si>
  <si>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</si>
  <si>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</si>
  <si>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</si>
  <si>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</si>
  <si>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</si>
  <si>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</si>
  <si>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</si>
  <si>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</si>
  <si>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</si>
  <si>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</si>
  <si>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</si>
  <si>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</si>
  <si>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</si>
  <si>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</si>
  <si>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</si>
  <si>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</si>
  <si>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</si>
  <si>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</si>
  <si>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</si>
  <si>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</si>
  <si>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</si>
  <si>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</si>
  <si>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</si>
  <si>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</si>
  <si>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</si>
  <si>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</si>
  <si>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</si>
  <si>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</si>
  <si>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</si>
  <si>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</si>
  <si>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</si>
  <si>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</si>
  <si>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</si>
  <si>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</si>
  <si>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</si>
  <si>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</si>
  <si>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</si>
  <si>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</si>
  <si>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</si>
  <si>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</si>
  <si>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</si>
  <si>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</si>
  <si>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</si>
  <si>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</si>
  <si>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</si>
  <si>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</si>
  <si>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</si>
  <si>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</si>
  <si>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</si>
  <si>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</si>
  <si>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</si>
  <si>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</si>
  <si>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</si>
  <si>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</si>
  <si>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</si>
  <si>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</si>
  <si>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</si>
  <si>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</si>
  <si>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</si>
  <si>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</si>
  <si>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</si>
  <si>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</si>
  <si>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</si>
  <si>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</si>
  <si>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</si>
  <si>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</si>
  <si>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</si>
  <si>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</si>
  <si>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</si>
  <si>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</si>
  <si>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</si>
  <si>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</si>
  <si>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</si>
  <si>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</si>
  <si>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</si>
  <si>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</si>
  <si>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</si>
  <si>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</si>
  <si>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</si>
  <si>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</si>
  <si>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</si>
  <si>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</si>
  <si>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</si>
  <si>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</si>
  <si>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</si>
  <si>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</si>
  <si>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</si>
  <si>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</si>
  <si>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</si>
  <si>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</si>
  <si>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</si>
  <si>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</si>
  <si>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</si>
  <si>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</si>
  <si>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</si>
  <si>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</si>
  <si>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</si>
  <si>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</si>
  <si>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</si>
  <si>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</si>
  <si>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</si>
  <si>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</si>
  <si>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</si>
  <si>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</si>
  <si>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</si>
  <si>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</si>
  <si>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</si>
  <si>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</si>
  <si>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</si>
  <si>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</si>
  <si>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</si>
  <si>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</si>
  <si>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</si>
  <si>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</si>
  <si>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</si>
  <si>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</si>
  <si>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</si>
  <si>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</si>
  <si>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</si>
  <si>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</si>
  <si>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</si>
  <si>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</si>
  <si>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</si>
  <si>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</si>
  <si>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</si>
  <si>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</si>
  <si>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</si>
  <si>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</si>
  <si>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</si>
  <si>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</si>
  <si>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</si>
  <si>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</si>
  <si>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</si>
  <si>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</si>
  <si>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</si>
  <si>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</si>
  <si>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</si>
  <si>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</si>
  <si>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</si>
  <si>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</si>
  <si>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</si>
  <si>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</si>
  <si>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</si>
  <si>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</si>
  <si>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</si>
  <si>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</si>
  <si>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</si>
  <si>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</si>
  <si>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</si>
  <si>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</si>
  <si>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</si>
  <si>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</si>
  <si>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</si>
  <si>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</si>
  <si>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</si>
  <si>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</si>
  <si>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</si>
  <si>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</si>
  <si>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</si>
  <si>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</si>
  <si>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</si>
  <si>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</si>
  <si>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</si>
  <si>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</si>
  <si>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</si>
  <si>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</si>
  <si>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</si>
  <si>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</si>
  <si>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</si>
  <si>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</si>
  <si>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</si>
  <si>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</si>
  <si>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</si>
  <si>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</si>
  <si>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</si>
  <si>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</si>
  <si>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</si>
  <si>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</si>
  <si>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</si>
  <si>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</si>
  <si>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</si>
  <si>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</si>
  <si>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</si>
  <si>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</si>
  <si>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</si>
  <si>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</si>
  <si>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</si>
  <si>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</si>
  <si>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</si>
  <si>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</si>
  <si>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</si>
  <si>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</si>
  <si>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</si>
  <si>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</si>
  <si>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</si>
  <si>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</si>
  <si>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</si>
  <si>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</si>
  <si>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</si>
  <si>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</si>
  <si>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</si>
  <si>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</si>
  <si>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</si>
  <si>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</si>
  <si>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</si>
  <si>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</si>
  <si>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</si>
  <si>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</si>
  <si>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</si>
  <si>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</si>
  <si>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</si>
  <si>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</si>
  <si>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</si>
  <si>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</si>
  <si>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</si>
  <si>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</si>
  <si>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</si>
  <si>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</si>
  <si>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</si>
  <si>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</si>
  <si>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</si>
  <si>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</si>
  <si>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</si>
  <si>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</si>
  <si>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</si>
  <si>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</si>
  <si>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</si>
  <si>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</si>
  <si>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</si>
  <si>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</si>
  <si>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</si>
  <si>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</si>
  <si>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</si>
  <si>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</si>
  <si>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</si>
  <si>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</si>
  <si>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</si>
  <si>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</si>
  <si>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</si>
  <si>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</si>
  <si>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</si>
  <si>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</si>
  <si>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</si>
  <si>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</si>
  <si>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</si>
  <si>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</si>
  <si>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</si>
  <si>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</si>
  <si>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</si>
  <si>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</si>
  <si>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</si>
  <si>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</si>
  <si>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</si>
  <si>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</si>
  <si>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</si>
  <si>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</si>
  <si>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</si>
  <si>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</si>
  <si>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</si>
  <si>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</si>
  <si>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</si>
  <si>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</si>
  <si>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</si>
  <si>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</si>
  <si>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</si>
  <si>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</si>
  <si>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</si>
  <si>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</si>
  <si>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</si>
  <si>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</si>
  <si>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</si>
  <si>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</si>
  <si>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</si>
  <si>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</si>
  <si>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</si>
  <si>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</si>
  <si>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</si>
  <si>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</si>
  <si>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</si>
  <si>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</si>
  <si>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</si>
  <si>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</si>
  <si>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</si>
  <si>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</si>
  <si>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</si>
  <si>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</si>
  <si>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</si>
  <si>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</si>
  <si>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</si>
  <si>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</si>
  <si>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</si>
  <si>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</si>
  <si>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</si>
  <si>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</si>
  <si>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</si>
  <si>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</si>
  <si>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</si>
  <si>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</si>
  <si>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</si>
  <si>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</si>
  <si>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</si>
  <si>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</si>
  <si>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</si>
  <si>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</si>
  <si>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</si>
  <si>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</si>
  <si>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</si>
  <si>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</si>
  <si>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</si>
  <si>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</si>
  <si>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</si>
  <si>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</si>
  <si>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</si>
  <si>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</si>
  <si>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</si>
  <si>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</si>
  <si>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</si>
  <si>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</si>
  <si>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</si>
  <si>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</si>
  <si>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</si>
  <si>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</si>
  <si>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</si>
  <si>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</si>
  <si>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</si>
  <si>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</si>
  <si>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</si>
  <si>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</si>
  <si>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</si>
  <si>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</si>
  <si>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</si>
  <si>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</si>
  <si>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</si>
  <si>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</si>
  <si>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</si>
  <si>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</si>
  <si>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</si>
  <si>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</si>
  <si>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</si>
  <si>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</si>
  <si>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</si>
  <si>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</si>
  <si>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</si>
  <si>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</si>
  <si>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</si>
  <si>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</si>
  <si>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</si>
  <si>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</si>
  <si>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</si>
  <si>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</si>
  <si>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</si>
  <si>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</si>
  <si>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</si>
  <si>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</si>
  <si>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</si>
  <si>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</si>
  <si>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</si>
  <si>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</si>
  <si>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</si>
  <si>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</si>
  <si>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</si>
  <si>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</si>
  <si>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</si>
  <si>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</si>
  <si>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</si>
  <si>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</si>
  <si>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</si>
  <si>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</si>
  <si>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</si>
  <si>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</si>
  <si>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</si>
  <si>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</si>
  <si>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</si>
  <si>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</si>
  <si>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</si>
  <si>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</si>
  <si>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</si>
  <si>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</si>
  <si>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</si>
  <si>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</si>
  <si>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</si>
  <si>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</si>
  <si>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</si>
  <si>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</si>
  <si>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</si>
  <si>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</si>
  <si>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</si>
  <si>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</si>
  <si>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</si>
  <si>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</si>
  <si>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</si>
  <si>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</si>
  <si>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</si>
  <si>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</si>
  <si>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</si>
  <si>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</si>
  <si>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</si>
  <si>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</si>
  <si>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</si>
  <si>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</si>
  <si>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</si>
  <si>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</si>
  <si>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</si>
  <si>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</si>
  <si>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</si>
  <si>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</si>
  <si>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</si>
  <si>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</si>
  <si>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</si>
  <si>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</si>
  <si>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</si>
  <si>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</si>
  <si>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</si>
  <si>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</si>
  <si>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</si>
  <si>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</si>
  <si>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</si>
  <si>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</si>
  <si>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</si>
  <si>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</si>
  <si>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</si>
  <si>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</si>
  <si>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</si>
  <si>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</si>
  <si>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</si>
  <si>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</si>
  <si>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</si>
  <si>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</si>
  <si>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</si>
  <si>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</si>
  <si>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</si>
  <si>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</si>
  <si>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</si>
  <si>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</si>
  <si>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</si>
  <si>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</si>
  <si>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</si>
  <si>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</si>
  <si>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</si>
  <si>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</si>
  <si>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</si>
  <si>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</si>
  <si>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</si>
  <si>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</si>
  <si>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</si>
  <si>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</si>
  <si>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</si>
  <si>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</si>
  <si>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</si>
  <si>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</si>
  <si>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</si>
  <si>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</si>
  <si>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</si>
  <si>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</si>
  <si>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</si>
  <si>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</si>
  <si>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</si>
  <si>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</si>
  <si>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</si>
  <si>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</si>
  <si>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</si>
  <si>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</si>
  <si>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</si>
  <si>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</si>
  <si>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</si>
  <si>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</si>
  <si>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</si>
  <si>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</si>
  <si>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</si>
  <si>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</si>
  <si>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</si>
  <si>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</si>
  <si>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</si>
  <si>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</si>
  <si>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</si>
  <si>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</si>
  <si>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</si>
  <si>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</si>
  <si>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</si>
  <si>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</si>
  <si>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</si>
  <si>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</si>
  <si>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</si>
  <si>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</si>
  <si>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</si>
  <si>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</si>
  <si>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</si>
  <si>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</si>
  <si>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</si>
  <si>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</si>
  <si>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</si>
  <si>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</si>
  <si>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</si>
  <si>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</si>
  <si>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</si>
  <si>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</si>
  <si>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</si>
  <si>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</si>
  <si>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</si>
  <si>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</si>
  <si>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</si>
  <si>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</si>
  <si>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</si>
  <si>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</si>
  <si>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</si>
  <si>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</si>
  <si>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</si>
  <si>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</si>
  <si>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</si>
  <si>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</si>
  <si>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</si>
  <si>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</si>
  <si>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</si>
  <si>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</si>
  <si>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</si>
  <si>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</si>
  <si>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</si>
  <si>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</si>
  <si>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</si>
  <si>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</si>
  <si>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</si>
  <si>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</si>
  <si>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</si>
  <si>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</si>
  <si>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</si>
  <si>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</si>
  <si>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</si>
  <si>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</si>
  <si>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</si>
  <si>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</si>
  <si>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</si>
  <si>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</si>
  <si>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</si>
  <si>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</si>
  <si>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</si>
  <si>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</si>
  <si>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</si>
  <si>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</si>
  <si>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</si>
  <si>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</si>
  <si>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</si>
  <si>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</si>
  <si>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</si>
  <si>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</si>
  <si>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</si>
  <si>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</si>
  <si>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</si>
  <si>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</si>
  <si>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</si>
  <si>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</si>
  <si>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</si>
  <si>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</si>
  <si>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</si>
  <si>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</si>
  <si>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</si>
  <si>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</si>
  <si>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</si>
  <si>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</si>
  <si>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</si>
  <si>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</si>
  <si>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</si>
  <si>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</si>
  <si>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</si>
  <si>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</si>
  <si>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</si>
  <si>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</si>
  <si>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</si>
  <si>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</si>
  <si>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</si>
  <si>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</si>
  <si>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</si>
  <si>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</si>
  <si>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</si>
  <si>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</si>
  <si>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</si>
  <si>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</si>
  <si>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</si>
  <si>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</si>
  <si>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</si>
  <si>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</si>
  <si>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</si>
  <si>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</si>
  <si>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</si>
  <si>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</si>
  <si>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</si>
  <si>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</si>
  <si>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</si>
  <si>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</si>
  <si>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</si>
  <si>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</si>
  <si>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</si>
  <si>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</si>
  <si>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</si>
  <si>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</si>
  <si>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</si>
  <si>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</si>
  <si>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</si>
  <si>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</si>
  <si>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</si>
  <si>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</si>
  <si>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</si>
  <si>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</si>
  <si>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</si>
  <si>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</si>
  <si>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</si>
  <si>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</si>
  <si>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</si>
  <si>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</si>
  <si>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</si>
  <si>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</si>
  <si>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</si>
  <si>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</si>
  <si>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</si>
  <si>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</si>
  <si>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</si>
  <si>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</si>
  <si>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</si>
  <si>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</si>
  <si>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</si>
  <si>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</si>
  <si>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</si>
  <si>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</si>
  <si>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</si>
  <si>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</si>
  <si>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</si>
  <si>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</si>
  <si>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</si>
  <si>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</si>
  <si>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</si>
  <si>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</si>
  <si>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</si>
  <si>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</si>
  <si>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</si>
  <si>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</si>
  <si>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</si>
  <si>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</si>
  <si>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</si>
  <si>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</si>
  <si>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</si>
  <si>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</si>
  <si>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</si>
  <si>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</si>
  <si>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</si>
  <si>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</si>
  <si>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</si>
  <si>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</si>
  <si>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</si>
  <si>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</si>
  <si>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</si>
  <si>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</si>
  <si>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</si>
  <si>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</si>
  <si>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</si>
  <si>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</si>
  <si>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</si>
  <si>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</si>
  <si>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</si>
  <si>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</si>
  <si>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</si>
  <si>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</si>
  <si>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</si>
  <si>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</si>
  <si>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</si>
  <si>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</si>
  <si>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</si>
  <si>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</si>
  <si>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</si>
  <si>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</si>
  <si>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</si>
  <si>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</si>
  <si>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</si>
  <si>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</si>
  <si>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</si>
  <si>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</si>
  <si>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</si>
  <si>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</si>
  <si>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</si>
  <si>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</si>
  <si>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</si>
  <si>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</si>
  <si>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</si>
  <si>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</si>
  <si>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</si>
  <si>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</si>
  <si>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</si>
  <si>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</si>
  <si>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</si>
  <si>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</si>
  <si>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</si>
  <si>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</si>
  <si>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</si>
  <si>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</si>
  <si>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</si>
  <si>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</si>
  <si>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</si>
  <si>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</si>
  <si>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</si>
  <si>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</si>
  <si>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</si>
  <si>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</si>
  <si>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</si>
  <si>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</si>
  <si>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</si>
  <si>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</si>
  <si>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</si>
  <si>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</si>
  <si>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</si>
  <si>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</si>
  <si>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</si>
  <si>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</si>
  <si>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</si>
  <si>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</si>
  <si>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</si>
  <si>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</si>
  <si>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</si>
  <si>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</si>
  <si>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</si>
  <si>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</si>
  <si>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</si>
  <si>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</si>
  <si>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</si>
  <si>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</si>
  <si>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</si>
  <si>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</si>
  <si>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</si>
  <si>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</si>
  <si>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</si>
  <si>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</si>
  <si>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</si>
  <si>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</si>
  <si>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</si>
  <si>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</si>
  <si>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</si>
  <si>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</si>
  <si>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</si>
  <si>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</si>
  <si>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</si>
  <si>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</si>
  <si>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</si>
  <si>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</si>
  <si>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</si>
  <si>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</si>
  <si>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</si>
  <si>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</si>
  <si>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</si>
  <si>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</si>
  <si>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</si>
  <si>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</si>
  <si>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</si>
  <si>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</si>
  <si>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</si>
  <si>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</si>
  <si>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</si>
  <si>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</si>
  <si>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</si>
  <si>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</si>
  <si>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</si>
  <si>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</si>
  <si>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</si>
  <si>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</si>
  <si>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</si>
  <si>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</si>
  <si>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</si>
  <si>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</si>
  <si>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</si>
  <si>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</si>
  <si>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</si>
  <si>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</si>
  <si>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</si>
  <si>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</si>
  <si>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</si>
  <si>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</si>
  <si>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</si>
  <si>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</si>
  <si>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</si>
  <si>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</si>
  <si>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</si>
  <si>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</si>
  <si>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</si>
  <si>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</si>
  <si>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</si>
  <si>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</si>
  <si>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</si>
  <si>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</si>
  <si>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</si>
  <si>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</si>
  <si>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</si>
  <si>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</si>
  <si>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</si>
  <si>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</si>
  <si>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</si>
  <si>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</si>
  <si>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</si>
  <si>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</si>
  <si>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</si>
  <si>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</si>
  <si>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</si>
  <si>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</si>
  <si>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</si>
  <si>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</si>
  <si>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</si>
  <si>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</si>
  <si>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</si>
  <si>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</si>
  <si>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</si>
  <si>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</si>
  <si>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</si>
  <si>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</si>
  <si>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</si>
  <si>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</si>
  <si>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</si>
  <si>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</si>
  <si>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</si>
  <si>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</si>
  <si>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</si>
  <si>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</si>
  <si>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</si>
  <si>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</si>
  <si>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</si>
  <si>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</si>
  <si>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</si>
  <si>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</si>
  <si>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</si>
  <si>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</si>
  <si>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</si>
  <si>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</si>
  <si>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</si>
  <si>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</si>
  <si>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</si>
  <si>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</si>
  <si>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</si>
  <si>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</si>
  <si>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</si>
  <si>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</si>
  <si>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</si>
  <si>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</si>
  <si>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</si>
  <si>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</si>
  <si>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</si>
  <si>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</si>
  <si>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</si>
  <si>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</si>
  <si>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</si>
  <si>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</si>
  <si>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</si>
  <si>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</si>
  <si>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</si>
  <si>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</si>
  <si>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</si>
  <si>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</si>
  <si>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</si>
  <si>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</si>
  <si>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</si>
  <si>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</si>
  <si>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</si>
  <si>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</si>
  <si>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</si>
  <si>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</si>
  <si>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</si>
  <si>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</si>
  <si>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</si>
  <si>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</si>
  <si>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</si>
  <si>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</si>
  <si>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</si>
  <si>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</si>
  <si>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</si>
  <si>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</si>
  <si>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</si>
  <si>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</si>
  <si>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</si>
  <si>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</si>
  <si>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</si>
  <si>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</si>
  <si>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</si>
  <si>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</si>
  <si>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</si>
  <si>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</si>
  <si>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</si>
  <si>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</si>
  <si>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</si>
  <si>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</si>
  <si>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</si>
  <si>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</si>
  <si>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</si>
  <si>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</si>
  <si>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</si>
  <si>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</si>
  <si>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</si>
  <si>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</si>
  <si>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</si>
  <si>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</si>
  <si>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</si>
  <si>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</si>
  <si>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</si>
  <si>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</si>
  <si>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</si>
  <si>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</si>
  <si>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</si>
  <si>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</si>
  <si>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</si>
  <si>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</si>
  <si>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</si>
  <si>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</si>
  <si>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</si>
  <si>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</si>
  <si>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</si>
  <si>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</si>
  <si>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</si>
  <si>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</si>
  <si>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</si>
  <si>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</si>
  <si>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</si>
  <si>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</si>
  <si>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</si>
  <si>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</si>
  <si>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</si>
  <si>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</si>
  <si>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</si>
  <si>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</si>
  <si>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</si>
  <si>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</si>
  <si>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</si>
  <si>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</si>
  <si>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</si>
  <si>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</si>
  <si>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</si>
  <si>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</si>
  <si>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</si>
  <si>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</si>
  <si>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</si>
  <si>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</si>
  <si>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</si>
  <si>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</si>
  <si>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</si>
  <si>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</si>
  <si>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</si>
  <si>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</si>
  <si>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</si>
  <si>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</si>
  <si>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</si>
  <si>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</si>
  <si>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</si>
  <si>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</si>
  <si>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</si>
  <si>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</si>
  <si>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</si>
  <si>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</si>
  <si>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</si>
  <si>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</si>
  <si>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</si>
  <si>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</si>
  <si>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</si>
  <si>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</si>
  <si>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</si>
  <si>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</si>
  <si>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</si>
  <si>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</si>
  <si>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</si>
  <si>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</si>
  <si>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</si>
  <si>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</si>
  <si>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</si>
  <si>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</si>
  <si>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</si>
  <si>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</si>
  <si>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</si>
  <si>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</si>
  <si>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</si>
  <si>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</si>
  <si>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</si>
  <si>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</si>
  <si>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</si>
  <si>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</si>
  <si>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</si>
  <si>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</si>
  <si>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</si>
  <si>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</si>
  <si>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</si>
  <si>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</si>
  <si>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</si>
  <si>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</si>
  <si>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</si>
  <si>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</si>
  <si>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</si>
  <si>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</si>
  <si>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</si>
  <si>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</si>
  <si>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</si>
  <si>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</si>
  <si>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</si>
  <si>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</si>
  <si>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</si>
  <si>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</si>
  <si>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</si>
  <si>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</si>
  <si>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</si>
  <si>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</si>
  <si>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</si>
  <si>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</si>
  <si>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</si>
  <si>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</si>
  <si>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</si>
  <si>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</si>
  <si>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</si>
  <si>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</si>
  <si>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</si>
  <si>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</si>
  <si>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</si>
  <si>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</si>
  <si>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</si>
  <si>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</si>
  <si>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</si>
  <si>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</si>
  <si>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</si>
  <si>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</si>
  <si>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</si>
  <si>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</si>
  <si>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</si>
  <si>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</si>
  <si>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</si>
  <si>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</si>
  <si>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</si>
  <si>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</si>
  <si>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</si>
  <si>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</si>
  <si>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</si>
  <si>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</si>
  <si>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</si>
  <si>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</si>
  <si>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</si>
  <si>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</si>
  <si>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</si>
  <si>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</si>
  <si>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</si>
  <si>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</si>
  <si>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</si>
  <si>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</si>
  <si>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</si>
  <si>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</si>
  <si>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</si>
  <si>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</si>
  <si>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</si>
  <si>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</si>
  <si>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</si>
  <si>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</si>
  <si>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</si>
  <si>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</si>
  <si>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</si>
  <si>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</si>
  <si>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</si>
  <si>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</si>
  <si>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</si>
  <si>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</si>
  <si>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</si>
  <si>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</si>
  <si>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</si>
  <si>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</si>
  <si>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</si>
  <si>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</si>
  <si>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</si>
  <si>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</si>
  <si>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</si>
  <si>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</si>
  <si>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</si>
  <si>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</si>
  <si>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</si>
  <si>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</si>
  <si>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</si>
  <si>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</si>
  <si>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</si>
  <si>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</si>
  <si>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</si>
  <si>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</si>
  <si>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</si>
  <si>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</si>
  <si>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</si>
  <si>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</si>
  <si>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</si>
  <si>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</si>
  <si>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</si>
  <si>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</si>
  <si>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</si>
  <si>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</si>
  <si>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</si>
  <si>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</si>
  <si>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</si>
  <si>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</si>
  <si>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</si>
  <si>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</si>
  <si>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</si>
  <si>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</si>
  <si>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</si>
  <si>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</si>
  <si>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</si>
  <si>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</si>
  <si>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</si>
  <si>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</si>
  <si>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</si>
  <si>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</si>
  <si>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</si>
  <si>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</si>
  <si>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</si>
  <si>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</si>
  <si>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</si>
  <si>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</si>
  <si>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</si>
  <si>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</si>
  <si>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</si>
  <si>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</si>
  <si>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</si>
  <si>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</si>
  <si>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</si>
  <si>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</si>
  <si>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</si>
  <si>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</si>
  <si>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</si>
  <si>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</si>
  <si>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</si>
  <si>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</si>
  <si>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</si>
  <si>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</si>
  <si>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</si>
  <si>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</si>
  <si>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</si>
  <si>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</si>
  <si>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</si>
  <si>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</si>
  <si>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</si>
  <si>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</si>
  <si>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</si>
  <si>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</si>
  <si>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</si>
  <si>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</si>
  <si>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</si>
  <si>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</si>
  <si>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</si>
  <si>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</si>
  <si>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</si>
  <si>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</si>
  <si>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</si>
  <si>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</si>
  <si>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</si>
  <si>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</si>
  <si>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</si>
  <si>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</si>
  <si>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</si>
  <si>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</si>
  <si>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</si>
  <si>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</si>
  <si>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</si>
  <si>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</si>
  <si>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</si>
  <si>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</si>
  <si>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</si>
  <si>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</si>
  <si>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</si>
  <si>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</si>
  <si>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</si>
  <si>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</si>
  <si>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</si>
  <si>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</si>
  <si>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</si>
  <si>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</si>
  <si>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</si>
  <si>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</si>
  <si>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</si>
  <si>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</si>
  <si>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</si>
  <si>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</si>
  <si>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</si>
  <si>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</si>
  <si>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</si>
  <si>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</si>
  <si>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</si>
  <si>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</si>
  <si>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</si>
  <si>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</si>
  <si>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</si>
  <si>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</si>
  <si>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</si>
  <si>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</si>
  <si>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</si>
  <si>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</si>
  <si>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</si>
  <si>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</si>
  <si>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</si>
  <si>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</si>
  <si>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</si>
  <si>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</si>
  <si>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</si>
  <si>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</si>
  <si>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</si>
  <si>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</si>
  <si>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</si>
  <si>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</si>
  <si>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</si>
  <si>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</si>
  <si>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</si>
  <si>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</si>
  <si>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</si>
  <si>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</si>
  <si>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</si>
  <si>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</si>
  <si>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</si>
  <si>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</si>
  <si>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</si>
  <si>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</si>
  <si>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</si>
  <si>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</si>
  <si>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</si>
  <si>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</si>
  <si>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</si>
  <si>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</si>
  <si>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</si>
  <si>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</si>
  <si>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</si>
  <si>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</si>
  <si>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</si>
  <si>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</si>
  <si>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</si>
  <si>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</si>
  <si>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</si>
  <si>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</si>
  <si>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</si>
  <si>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</si>
  <si>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</si>
  <si>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</si>
  <si>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</si>
  <si>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</si>
  <si>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</si>
  <si>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</si>
  <si>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</si>
  <si>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</si>
  <si>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</si>
  <si>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</si>
  <si>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</si>
  <si>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</si>
  <si>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</si>
  <si>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</si>
  <si>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</si>
  <si>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</si>
  <si>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</si>
  <si>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</si>
  <si>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</si>
  <si>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</si>
  <si>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</si>
  <si>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</si>
  <si>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</si>
  <si>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</si>
  <si>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</si>
  <si>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</si>
  <si>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</si>
  <si>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</si>
  <si>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</si>
  <si>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</si>
  <si>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</si>
  <si>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</si>
  <si>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</si>
  <si>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</si>
  <si>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</si>
  <si>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</si>
  <si>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</si>
  <si>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</si>
  <si>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</si>
  <si>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</si>
  <si>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</si>
  <si>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</si>
  <si>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</si>
  <si>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</si>
  <si>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</si>
  <si>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</si>
  <si>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</si>
  <si>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</si>
  <si>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</si>
  <si>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</si>
  <si>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</si>
  <si>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</si>
  <si>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</si>
  <si>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</si>
  <si>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</si>
  <si>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</si>
  <si>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</si>
  <si>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</si>
  <si>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</si>
  <si>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</si>
  <si>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</si>
  <si>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</si>
  <si>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</si>
  <si>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</si>
  <si>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</si>
  <si>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</si>
  <si>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</si>
  <si>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</si>
  <si>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</si>
  <si>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</si>
  <si>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</si>
  <si>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</si>
  <si>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</si>
  <si>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</si>
  <si>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</si>
  <si>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</si>
  <si>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</si>
  <si>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</si>
  <si>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</si>
  <si>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</si>
  <si>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</si>
  <si>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</si>
  <si>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</si>
  <si>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</si>
  <si>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</si>
  <si>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</si>
  <si>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</si>
  <si>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</si>
  <si>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</si>
  <si>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</si>
  <si>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</si>
  <si>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</si>
  <si>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</si>
  <si>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</si>
  <si>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</si>
  <si>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</si>
  <si>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</si>
  <si>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</si>
  <si>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</si>
  <si>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</si>
  <si>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</si>
  <si>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</si>
  <si>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</si>
  <si>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</si>
  <si>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</si>
  <si>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</si>
  <si>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</si>
  <si>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</si>
  <si>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</si>
  <si>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</si>
  <si>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</si>
  <si>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</si>
  <si>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</si>
  <si>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</si>
  <si>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</si>
  <si>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</si>
  <si>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</si>
  <si>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</si>
  <si>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</si>
  <si>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</si>
  <si>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</si>
  <si>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</si>
  <si>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</si>
  <si>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</si>
  <si>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</si>
  <si>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</si>
  <si>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</si>
  <si>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</si>
  <si>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</si>
  <si>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</si>
  <si>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</si>
  <si>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</si>
  <si>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</si>
  <si>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</si>
  <si>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</si>
  <si>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</si>
  <si>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</si>
  <si>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</si>
  <si>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</si>
  <si>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</si>
  <si>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</si>
  <si>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</si>
  <si>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</si>
  <si>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</si>
  <si>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</si>
  <si>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</si>
  <si>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</si>
  <si>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</si>
  <si>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</si>
  <si>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</si>
  <si>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</si>
  <si>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</si>
  <si>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</si>
  <si>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</si>
  <si>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</si>
  <si>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</si>
  <si>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</si>
  <si>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</si>
  <si>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</si>
  <si>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</si>
  <si>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</si>
  <si>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</si>
  <si>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</si>
  <si>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</si>
  <si>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</si>
  <si>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</si>
  <si>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</si>
  <si>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</si>
  <si>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</si>
  <si>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</si>
  <si>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</si>
  <si>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</si>
  <si>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</si>
  <si>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</si>
  <si>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</si>
  <si>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</si>
  <si>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</si>
  <si>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</si>
  <si>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</si>
  <si>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</si>
  <si>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</si>
  <si>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</si>
  <si>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</si>
  <si>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</si>
  <si>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</si>
  <si>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</si>
  <si>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</si>
  <si>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</si>
  <si>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</si>
  <si>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</si>
  <si>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</si>
  <si>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</si>
  <si>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</si>
  <si>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</si>
  <si>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</si>
  <si>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</si>
  <si>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</si>
  <si>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</si>
  <si>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</si>
  <si>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</si>
  <si>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</si>
  <si>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</si>
  <si>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</si>
  <si>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</si>
  <si>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</si>
  <si>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</si>
  <si>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</si>
  <si>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</si>
  <si>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</si>
  <si>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</si>
  <si>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</si>
  <si>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</si>
  <si>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</si>
  <si>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</si>
  <si>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</si>
  <si>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</si>
  <si>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</si>
  <si>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</si>
  <si>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</si>
  <si>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</si>
  <si>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</si>
  <si>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</si>
  <si>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</si>
  <si>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</si>
  <si>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</si>
  <si>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</si>
  <si>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</si>
  <si>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</si>
  <si>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</si>
  <si>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</si>
  <si>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</si>
  <si>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</si>
  <si>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</si>
  <si>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</si>
  <si>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</si>
  <si>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</si>
  <si>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</si>
  <si>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</si>
  <si>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</si>
  <si>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</si>
  <si>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</si>
  <si>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</si>
  <si>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</si>
  <si>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</si>
  <si>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</si>
  <si>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</si>
  <si>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</si>
  <si>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</si>
  <si>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</si>
  <si>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</si>
  <si>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</si>
  <si>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</si>
  <si>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</si>
  <si>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</si>
  <si>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</si>
  <si>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</si>
  <si>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</si>
  <si>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</si>
  <si>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</si>
  <si>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</si>
  <si>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</si>
  <si>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</si>
  <si>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</si>
  <si>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</si>
  <si>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</si>
  <si>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</si>
  <si>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</si>
  <si>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</si>
  <si>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</si>
  <si>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</si>
  <si>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</si>
  <si>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</si>
  <si>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</si>
  <si>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</si>
  <si>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</si>
  <si>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</si>
  <si>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</si>
  <si>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</si>
  <si>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</si>
  <si>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</si>
  <si>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</si>
  <si>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</si>
  <si>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</si>
  <si>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</si>
  <si>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</si>
  <si>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</si>
  <si>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</si>
  <si>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</si>
  <si>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</si>
  <si>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</si>
  <si>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</si>
  <si>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</si>
  <si>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</si>
  <si>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</si>
  <si>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</si>
  <si>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</si>
  <si>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</si>
  <si>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</si>
  <si>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</si>
  <si>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</si>
  <si>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</si>
  <si>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</si>
  <si>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</si>
  <si>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</si>
  <si>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</si>
  <si>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</si>
  <si>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</si>
  <si>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</si>
  <si>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</si>
  <si>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</si>
  <si>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</si>
  <si>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</si>
  <si>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</si>
  <si>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</si>
  <si>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</si>
  <si>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</si>
  <si>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</si>
  <si>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</si>
  <si>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</si>
  <si>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</si>
  <si>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</si>
  <si>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</si>
  <si>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</si>
  <si>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</si>
  <si>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</si>
  <si>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</si>
  <si>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</si>
  <si>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</si>
  <si>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</si>
  <si>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</si>
  <si>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</si>
  <si>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</si>
  <si>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</si>
  <si>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</si>
  <si>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</si>
  <si>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</si>
  <si>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</si>
  <si>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</si>
  <si>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</si>
  <si>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</si>
  <si>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</si>
  <si>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</si>
  <si>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</si>
  <si>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</si>
  <si>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</si>
  <si>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</si>
  <si>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</si>
  <si>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</si>
  <si>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</si>
  <si>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</si>
  <si>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</si>
  <si>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</si>
  <si>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</si>
  <si>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</si>
  <si>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</si>
  <si>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</si>
  <si>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</si>
  <si>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</si>
  <si>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</si>
  <si>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</si>
  <si>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</si>
  <si>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</si>
  <si>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</si>
  <si>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</si>
  <si>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</si>
  <si>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</si>
  <si>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</si>
  <si>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</si>
  <si>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</si>
  <si>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</si>
  <si>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</si>
  <si>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</si>
  <si>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</si>
  <si>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</si>
  <si>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</si>
  <si>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</si>
  <si>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</si>
  <si>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</si>
  <si>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</si>
  <si>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</si>
  <si>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</si>
  <si>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</si>
  <si>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</si>
  <si>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</si>
  <si>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</si>
  <si>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</si>
  <si>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</si>
  <si>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</si>
  <si>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</si>
  <si>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</si>
  <si>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</si>
  <si>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</si>
  <si>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</si>
  <si>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</si>
  <si>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</si>
  <si>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</si>
  <si>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</si>
  <si>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</si>
  <si>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</si>
  <si>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</si>
  <si>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</si>
  <si>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</si>
  <si>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</si>
  <si>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</si>
  <si>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</si>
  <si>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</si>
  <si>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</si>
  <si>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</si>
  <si>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</si>
  <si>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</si>
  <si>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</si>
  <si>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</si>
  <si>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</si>
  <si>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</si>
  <si>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</si>
  <si>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</si>
  <si>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</si>
  <si>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</si>
  <si>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</si>
  <si>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</si>
  <si>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</si>
  <si>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</si>
  <si>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</si>
  <si>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</si>
  <si>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</si>
  <si>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</si>
  <si>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</si>
  <si>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</si>
  <si>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</si>
  <si>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</si>
  <si>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</si>
  <si>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</si>
  <si>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</si>
  <si>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</si>
  <si>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</si>
  <si>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</si>
  <si>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</si>
  <si>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</si>
  <si>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</si>
  <si>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</si>
  <si>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</si>
  <si>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</si>
  <si>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</si>
  <si>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</si>
  <si>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</si>
  <si>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</si>
  <si>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</si>
  <si>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</si>
  <si>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</si>
  <si>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</si>
  <si>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</si>
  <si>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</si>
  <si>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</si>
  <si>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</si>
  <si>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</si>
  <si>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</si>
  <si>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</si>
  <si>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</si>
  <si>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</si>
  <si>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</si>
  <si>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</si>
  <si>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</si>
  <si>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</si>
  <si>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</si>
  <si>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</si>
  <si>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</si>
  <si>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</si>
  <si>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</si>
  <si>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</si>
  <si>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</si>
  <si>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</si>
  <si>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</si>
  <si>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</si>
  <si>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</si>
  <si>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</si>
  <si>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</si>
  <si>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</si>
  <si>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</si>
  <si>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</si>
  <si>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</si>
  <si>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</si>
  <si>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</si>
  <si>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</si>
  <si>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</si>
  <si>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</si>
  <si>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</si>
  <si>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</si>
  <si>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</si>
  <si>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</si>
  <si>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</si>
  <si>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</si>
  <si>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</si>
  <si>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</si>
  <si>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</si>
  <si>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</si>
  <si>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</si>
  <si>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</si>
  <si>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</si>
  <si>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</si>
  <si>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</si>
  <si>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</si>
  <si>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</si>
  <si>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</si>
  <si>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</si>
  <si>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</si>
  <si>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</si>
  <si>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</si>
  <si>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</si>
  <si>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</si>
  <si>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</si>
  <si>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</si>
  <si>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</si>
  <si>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</si>
  <si>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</si>
  <si>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</si>
  <si>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</si>
  <si>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</si>
  <si>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</si>
  <si>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</si>
  <si>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</si>
  <si>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</si>
  <si>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</si>
  <si>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</si>
  <si>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</si>
  <si>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</si>
  <si>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</si>
  <si>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</si>
  <si>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</si>
  <si>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</si>
  <si>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</si>
  <si>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</si>
  <si>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</si>
  <si>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</si>
  <si>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</si>
  <si>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</si>
  <si>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</si>
  <si>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</si>
  <si>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</si>
  <si>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</si>
  <si>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</si>
  <si>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</si>
  <si>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</si>
  <si>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</si>
  <si>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</si>
  <si>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</si>
  <si>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</si>
  <si>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</si>
  <si>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</si>
  <si>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</si>
  <si>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</si>
  <si>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</si>
  <si>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</si>
  <si>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</si>
  <si>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</si>
  <si>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</si>
  <si>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</si>
  <si>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</si>
  <si>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</si>
  <si>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</si>
  <si>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</si>
  <si>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</si>
  <si>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</si>
  <si>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</si>
  <si>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</si>
  <si>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</si>
  <si>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</si>
  <si>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</si>
  <si>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</si>
  <si>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</si>
  <si>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</si>
  <si>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</si>
  <si>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</si>
  <si>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</si>
  <si>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</si>
  <si>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</si>
  <si>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</si>
  <si>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</si>
  <si>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</si>
  <si>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</si>
  <si>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</si>
  <si>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</si>
  <si>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</si>
  <si>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</si>
  <si>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</si>
  <si>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</si>
  <si>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</si>
  <si>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</si>
  <si>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</si>
  <si>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</si>
  <si>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</si>
  <si>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</si>
  <si>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</si>
  <si>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</si>
  <si>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</si>
  <si>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</si>
  <si>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</si>
  <si>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</si>
  <si>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</si>
  <si>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</si>
  <si>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</si>
  <si>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</si>
  <si>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</si>
  <si>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</si>
  <si>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</si>
  <si>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</si>
  <si>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</si>
  <si>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</si>
  <si>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</si>
  <si>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</si>
  <si>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</si>
  <si>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</si>
  <si>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</si>
  <si>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</si>
  <si>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</si>
  <si>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</si>
  <si>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</si>
  <si>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</si>
  <si>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</si>
  <si>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</si>
  <si>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</si>
  <si>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</si>
  <si>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</si>
  <si>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</si>
  <si>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</si>
  <si>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</si>
  <si>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</si>
  <si>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</si>
  <si>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</si>
  <si>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</si>
  <si>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</si>
  <si>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</si>
  <si>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</si>
  <si>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</si>
  <si>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</si>
  <si>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</si>
  <si>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</si>
  <si>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</si>
  <si>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</si>
  <si>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</si>
  <si>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</si>
  <si>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</si>
  <si>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</si>
  <si>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</si>
  <si>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</si>
  <si>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</si>
  <si>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</si>
  <si>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</si>
  <si>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</si>
  <si>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</si>
  <si>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</si>
  <si>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</si>
  <si>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</si>
  <si>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</si>
  <si>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</si>
  <si>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</si>
  <si>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</si>
  <si>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</si>
  <si>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</si>
  <si>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</si>
  <si>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</si>
  <si>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</si>
  <si>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</si>
  <si>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</si>
  <si>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</si>
  <si>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</si>
  <si>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</si>
  <si>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</si>
  <si>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</si>
  <si>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</si>
  <si>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</si>
  <si>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</si>
  <si>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</si>
  <si>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</si>
  <si>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</si>
  <si>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</si>
  <si>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</si>
  <si>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</si>
  <si>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</si>
  <si>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</si>
  <si>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</si>
  <si>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</si>
  <si>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</si>
  <si>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</si>
  <si>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</si>
  <si>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</si>
  <si>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</si>
  <si>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</si>
  <si>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</si>
  <si>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</si>
  <si>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</si>
  <si>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</si>
  <si>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</si>
  <si>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</si>
  <si>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</si>
  <si>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</si>
  <si>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</si>
  <si>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</si>
  <si>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</si>
  <si>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</si>
  <si>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</si>
  <si>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</si>
  <si>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</si>
  <si>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</si>
  <si>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</si>
  <si>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</si>
  <si>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</si>
  <si>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</si>
  <si>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</si>
  <si>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</si>
  <si>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</si>
  <si>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</si>
  <si>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</si>
  <si>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</si>
  <si>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</si>
  <si>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</si>
  <si>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</si>
  <si>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</si>
  <si>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</si>
  <si>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</si>
  <si>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</si>
  <si>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</si>
  <si>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</si>
  <si>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</si>
  <si>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</si>
  <si>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</si>
  <si>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</si>
  <si>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</si>
  <si>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</si>
  <si>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</si>
  <si>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</si>
  <si>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</si>
  <si>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</si>
  <si>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</si>
  <si>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</si>
  <si>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</si>
  <si>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</si>
  <si>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</si>
  <si>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</si>
  <si>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</si>
  <si>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</si>
  <si>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</si>
  <si>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</si>
  <si>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</si>
  <si>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</si>
  <si>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</si>
  <si>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</si>
  <si>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</si>
  <si>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</si>
  <si>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</si>
  <si>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</si>
  <si>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</si>
  <si>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</si>
  <si>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</si>
  <si>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</si>
  <si>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</si>
  <si>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</si>
  <si>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</si>
  <si>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</si>
  <si>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</si>
  <si>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</si>
  <si>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</si>
  <si>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</si>
  <si>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</si>
  <si>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</si>
  <si>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</si>
  <si>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</si>
  <si>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</si>
  <si>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</si>
  <si>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</si>
  <si>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</si>
  <si>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</si>
  <si>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</si>
  <si>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</si>
  <si>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</si>
  <si>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</si>
  <si>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</si>
  <si>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</si>
  <si>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</si>
  <si>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</si>
  <si>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</si>
  <si>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</si>
  <si>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</si>
  <si>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</si>
  <si>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</si>
  <si>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</si>
  <si>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</si>
  <si>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</si>
  <si>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</si>
  <si>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</si>
  <si>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</si>
  <si>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</si>
  <si>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</si>
  <si>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</si>
  <si>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</si>
  <si>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</si>
  <si>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</si>
  <si>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</si>
  <si>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</si>
  <si>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</si>
  <si>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</si>
  <si>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</si>
  <si>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</si>
  <si>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</si>
  <si>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</si>
  <si>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</si>
  <si>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</si>
  <si>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</si>
  <si>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</si>
  <si>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</si>
  <si>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</si>
  <si>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</si>
  <si>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</si>
  <si>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</si>
  <si>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</si>
  <si>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</si>
  <si>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</si>
  <si>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</si>
  <si>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</si>
  <si>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</si>
  <si>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</si>
  <si>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</si>
  <si>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</si>
  <si>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</si>
  <si>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</si>
  <si>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</si>
  <si>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</si>
  <si>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</si>
  <si>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</si>
  <si>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</si>
  <si>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</si>
  <si>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</si>
  <si>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</si>
  <si>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</si>
  <si>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</si>
  <si>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</si>
  <si>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</si>
  <si>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</si>
  <si>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</si>
  <si>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</si>
  <si>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</si>
  <si>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</si>
  <si>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</si>
  <si>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</si>
  <si>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</si>
  <si>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</si>
  <si>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</si>
  <si>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</si>
  <si>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</si>
  <si>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</si>
  <si>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</si>
  <si>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</si>
  <si>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</si>
  <si>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</si>
  <si>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</si>
  <si>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</si>
  <si>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</si>
  <si>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</si>
  <si>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</si>
  <si>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</si>
  <si>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</si>
  <si>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</si>
  <si>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</si>
  <si>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</si>
  <si>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</si>
  <si>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</si>
  <si>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</si>
  <si>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</si>
  <si>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</si>
  <si>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</si>
  <si>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</si>
  <si>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</si>
  <si>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</si>
  <si>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</si>
  <si>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</si>
  <si>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</si>
  <si>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</si>
  <si>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</si>
  <si>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</si>
  <si>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</si>
  <si>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</si>
  <si>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</si>
  <si>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</si>
  <si>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</si>
  <si>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</si>
  <si>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</si>
  <si>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</si>
  <si>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</si>
  <si>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</si>
  <si>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</si>
  <si>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</si>
  <si>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</si>
  <si>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</si>
  <si>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</si>
  <si>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</si>
  <si>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</si>
  <si>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</si>
  <si>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</si>
  <si>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</si>
  <si>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</si>
  <si>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</si>
  <si>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</si>
  <si>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</si>
  <si>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</si>
  <si>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</si>
  <si>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</si>
  <si>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</si>
  <si>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</si>
  <si>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</si>
  <si>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</si>
  <si>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</si>
  <si>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</si>
  <si>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</si>
  <si>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</si>
  <si>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</si>
  <si>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</si>
  <si>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</si>
  <si>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</si>
  <si>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</si>
  <si>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</si>
  <si>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</si>
  <si>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</si>
  <si>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</si>
  <si>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</si>
  <si>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</si>
  <si>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</si>
  <si>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</si>
  <si>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</si>
  <si>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</si>
  <si>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</si>
  <si>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</si>
  <si>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</si>
  <si>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</si>
  <si>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</si>
  <si>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</si>
  <si>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</si>
  <si>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</si>
  <si>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</si>
  <si>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</si>
  <si>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</si>
  <si>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</si>
  <si>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</si>
  <si>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</si>
  <si>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</si>
  <si>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</si>
  <si>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</si>
  <si>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</si>
  <si>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</si>
  <si>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</si>
  <si>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</si>
  <si>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</si>
  <si>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</si>
  <si>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</si>
  <si>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</si>
  <si>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</si>
  <si>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</si>
  <si>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</si>
  <si>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</si>
  <si>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</si>
  <si>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</si>
  <si>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</si>
  <si>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</si>
  <si>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</si>
  <si>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</si>
  <si>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</si>
  <si>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</si>
  <si>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</si>
  <si>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</si>
  <si>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</si>
  <si>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</si>
  <si>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</si>
  <si>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</si>
  <si>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</si>
  <si>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</si>
  <si>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</si>
  <si>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</si>
  <si>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</si>
  <si>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</si>
  <si>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</si>
  <si>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</si>
  <si>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</si>
  <si>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</si>
  <si>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</si>
  <si>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</si>
  <si>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</si>
  <si>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</si>
  <si>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</si>
  <si>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</si>
  <si>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</si>
  <si>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</si>
  <si>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</si>
  <si>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</si>
  <si>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</si>
  <si>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</si>
  <si>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</si>
  <si>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</si>
  <si>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</si>
  <si>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</si>
  <si>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</si>
  <si>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</si>
  <si>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</si>
  <si>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</si>
  <si>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</si>
  <si>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</si>
  <si>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</si>
  <si>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</si>
  <si>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</si>
  <si>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</si>
  <si>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</si>
  <si>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</si>
  <si>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</si>
  <si>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</si>
  <si>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</si>
  <si>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</si>
  <si>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</si>
  <si>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</si>
  <si>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</si>
  <si>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</si>
  <si>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</si>
  <si>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</si>
  <si>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</si>
  <si>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</si>
  <si>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</si>
  <si>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</si>
  <si>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</si>
  <si>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</si>
  <si>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</si>
  <si>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</si>
  <si>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</si>
  <si>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</si>
  <si>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</si>
  <si>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</si>
  <si>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</si>
  <si>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</si>
  <si>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</si>
  <si>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</si>
  <si>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</si>
  <si>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</si>
  <si>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</si>
  <si>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</si>
  <si>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</si>
  <si>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</si>
  <si>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</si>
  <si>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</si>
  <si>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</si>
  <si>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</si>
  <si>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</si>
  <si>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</si>
  <si>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</si>
  <si>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</si>
  <si>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</si>
  <si>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</si>
  <si>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</si>
  <si>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</si>
  <si>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</si>
  <si>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</si>
  <si>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</si>
  <si>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</si>
  <si>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</si>
  <si>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</si>
  <si>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</si>
  <si>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</si>
  <si>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</si>
  <si>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</si>
  <si>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</si>
  <si>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</si>
  <si>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</si>
  <si>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</si>
  <si>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</si>
  <si>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</si>
  <si>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</si>
  <si>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</si>
  <si>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</si>
  <si>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</si>
  <si>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</si>
  <si>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</si>
  <si>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</si>
  <si>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</si>
  <si>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</si>
  <si>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</si>
  <si>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</si>
  <si>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</si>
  <si>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</si>
  <si>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</si>
  <si>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</si>
  <si>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</si>
  <si>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</si>
  <si>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</si>
  <si>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</si>
  <si>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</si>
  <si>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</si>
  <si>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</si>
  <si>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</si>
  <si>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</si>
  <si>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</si>
  <si>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</si>
  <si>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</si>
  <si>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</si>
  <si>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</si>
  <si>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</si>
  <si>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</si>
  <si>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</si>
  <si>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</si>
  <si>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</si>
  <si>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</si>
  <si>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</si>
  <si>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</si>
  <si>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</si>
  <si>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</si>
  <si>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</si>
  <si>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</si>
  <si>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</si>
  <si>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</si>
  <si>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</si>
  <si>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</si>
  <si>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</si>
  <si>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</si>
  <si>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</si>
  <si>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</si>
  <si>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</si>
  <si>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</si>
  <si>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</si>
  <si>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</si>
  <si>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</si>
  <si>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</si>
  <si>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</si>
  <si>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</si>
  <si>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</si>
  <si>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</si>
  <si>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</si>
  <si>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</si>
  <si>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</si>
  <si>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</si>
  <si>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</si>
  <si>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</si>
  <si>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</si>
  <si>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</si>
  <si>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</si>
  <si>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</si>
  <si>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</si>
  <si>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</si>
  <si>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</si>
  <si>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</si>
  <si>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</si>
  <si>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</si>
  <si>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</si>
  <si>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</si>
  <si>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</si>
  <si>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</si>
  <si>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</si>
  <si>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</si>
  <si>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</si>
  <si>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</si>
  <si>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</si>
  <si>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</si>
  <si>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</si>
  <si>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</si>
  <si>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</si>
  <si>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</si>
  <si>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</si>
  <si>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</si>
  <si>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</si>
  <si>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</si>
  <si>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</si>
  <si>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</si>
  <si>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</si>
  <si>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</si>
  <si>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</si>
  <si>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</si>
  <si>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</si>
  <si>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</si>
  <si>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</si>
  <si>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</si>
  <si>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</si>
  <si>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</si>
  <si>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</si>
  <si>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</si>
  <si>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</si>
  <si>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</si>
  <si>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</si>
  <si>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</si>
  <si>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</si>
  <si>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</si>
  <si>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</si>
  <si>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</si>
  <si>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</si>
  <si>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</si>
  <si>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</si>
  <si>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</si>
  <si>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</si>
  <si>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</si>
  <si>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</si>
  <si>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</si>
  <si>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</si>
  <si>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</si>
  <si>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</si>
  <si>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</si>
  <si>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</si>
  <si>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</si>
  <si>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</si>
  <si>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</si>
  <si>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</si>
  <si>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</si>
  <si>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</si>
  <si>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</si>
  <si>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</si>
  <si>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</si>
  <si>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</si>
  <si>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</si>
  <si>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</si>
  <si>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</si>
  <si>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</si>
  <si>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</si>
  <si>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</si>
  <si>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</si>
  <si>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</si>
  <si>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</si>
  <si>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</si>
  <si>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</si>
  <si>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</si>
  <si>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</si>
  <si>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</si>
  <si>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</si>
  <si>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</si>
  <si>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</si>
  <si>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</si>
  <si>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</si>
  <si>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</si>
  <si>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</si>
  <si>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</si>
  <si>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</si>
  <si>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</si>
  <si>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</si>
  <si>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</si>
  <si>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</si>
  <si>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</si>
  <si>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</si>
  <si>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</si>
  <si>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</si>
  <si>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</si>
  <si>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</si>
  <si>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</si>
  <si>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</si>
  <si>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</si>
  <si>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</si>
  <si>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</si>
  <si>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</si>
  <si>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</si>
  <si>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</si>
  <si>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</si>
  <si>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</si>
  <si>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</si>
  <si>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</si>
  <si>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</si>
  <si>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</si>
  <si>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</si>
  <si>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</si>
  <si>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</si>
  <si>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</si>
  <si>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</si>
  <si>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</si>
  <si>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</si>
  <si>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</si>
  <si>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</si>
  <si>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</si>
  <si>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</si>
  <si>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</si>
  <si>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</si>
  <si>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</si>
  <si>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</si>
  <si>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</si>
  <si>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</si>
  <si>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</si>
  <si>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</si>
  <si>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</si>
  <si>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</si>
  <si>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</si>
  <si>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</si>
  <si>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</si>
  <si>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</si>
  <si>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</si>
  <si>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</si>
  <si>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</si>
  <si>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</si>
  <si>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</si>
  <si>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</si>
  <si>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</si>
  <si>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</si>
  <si>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</si>
  <si>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</si>
  <si>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</si>
  <si>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</si>
  <si>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</si>
  <si>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</si>
  <si>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</si>
  <si>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</si>
  <si>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</si>
  <si>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</si>
  <si>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</si>
  <si>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</si>
  <si>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</si>
  <si>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</si>
  <si>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</si>
  <si>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</si>
  <si>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</si>
  <si>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</si>
  <si>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</si>
  <si>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</si>
  <si>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</si>
  <si>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</si>
  <si>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</si>
  <si>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</si>
  <si>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</si>
  <si>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</si>
  <si>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</si>
  <si>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</si>
  <si>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</si>
  <si>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</si>
  <si>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</si>
  <si>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</si>
  <si>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</si>
  <si>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</si>
  <si>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</si>
  <si>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</si>
  <si>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</si>
  <si>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</si>
  <si>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</si>
  <si>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</si>
  <si>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</si>
  <si>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</si>
  <si>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</si>
  <si>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</si>
  <si>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</si>
  <si>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</si>
  <si>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</si>
  <si>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</si>
  <si>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</si>
  <si>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</si>
  <si>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</si>
  <si>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</si>
  <si>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</si>
  <si>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</si>
  <si>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</si>
  <si>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</si>
  <si>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</si>
  <si>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</si>
  <si>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</si>
  <si>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</si>
  <si>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</si>
  <si>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</si>
  <si>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</si>
  <si>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</si>
  <si>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</si>
  <si>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</si>
  <si>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</si>
  <si>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</si>
  <si>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</si>
  <si>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</si>
  <si>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</si>
  <si>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</si>
  <si>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</si>
  <si>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</si>
  <si>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</si>
  <si>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</si>
  <si>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</si>
  <si>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</si>
  <si>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</si>
  <si>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</si>
  <si>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</si>
  <si>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</si>
  <si>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</si>
  <si>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</si>
  <si>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</si>
  <si>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</si>
  <si>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</si>
  <si>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</si>
  <si>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</si>
  <si>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</si>
  <si>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</si>
  <si>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</si>
  <si>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</si>
  <si>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</si>
  <si>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</si>
  <si>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</si>
  <si>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</si>
  <si>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</si>
  <si>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</si>
  <si>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</si>
  <si>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</si>
  <si>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</si>
  <si>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</si>
  <si>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</si>
  <si>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</si>
  <si>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</si>
  <si>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</si>
  <si>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</si>
  <si>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</si>
  <si>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</si>
  <si>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</si>
  <si>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</si>
  <si>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</si>
  <si>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</si>
  <si>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</si>
  <si>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</si>
  <si>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</si>
  <si>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</si>
  <si>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</si>
  <si>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</si>
  <si>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</si>
  <si>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</si>
  <si>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</si>
  <si>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</si>
  <si>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</si>
  <si>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</si>
  <si>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</si>
  <si>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</si>
  <si>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</si>
  <si>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</si>
  <si>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</si>
  <si>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</si>
  <si>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</si>
  <si>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</si>
  <si>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</si>
  <si>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</si>
  <si>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</si>
  <si>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</si>
  <si>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</si>
  <si>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</si>
  <si>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</si>
  <si>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</si>
  <si>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</si>
  <si>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</si>
  <si>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</si>
  <si>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</si>
  <si>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</si>
  <si>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</si>
  <si>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</si>
  <si>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</si>
  <si>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</si>
  <si>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</si>
  <si>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</si>
  <si>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</si>
  <si>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</si>
  <si>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</si>
  <si>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</si>
  <si>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</si>
  <si>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</si>
  <si>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</si>
  <si>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</si>
  <si>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</si>
  <si>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</si>
  <si>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</si>
  <si>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</si>
  <si>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</si>
  <si>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</si>
  <si>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</si>
  <si>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</si>
  <si>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</si>
  <si>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</si>
  <si>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</si>
  <si>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</si>
  <si>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</si>
  <si>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</si>
  <si>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</si>
  <si>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</si>
  <si>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</si>
  <si>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</si>
  <si>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</si>
  <si>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</si>
  <si>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</si>
  <si>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</si>
  <si>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</si>
  <si>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</si>
  <si>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</si>
  <si>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</si>
  <si>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</si>
  <si>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</si>
  <si>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</si>
  <si>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</si>
  <si>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</si>
  <si>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</si>
  <si>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</si>
  <si>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</si>
  <si>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</si>
  <si>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</si>
  <si>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</si>
  <si>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</si>
  <si>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</si>
  <si>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</si>
  <si>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</si>
  <si>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</si>
  <si>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</si>
  <si>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</si>
  <si>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</si>
  <si>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</si>
  <si>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</si>
  <si>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</si>
  <si>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</si>
  <si>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</si>
  <si>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</si>
  <si>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</si>
  <si>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</si>
  <si>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</si>
  <si>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</si>
  <si>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</si>
  <si>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</si>
  <si>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</si>
  <si>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</si>
  <si>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</si>
  <si>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</si>
  <si>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</si>
  <si>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</si>
  <si>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</si>
  <si>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</si>
  <si>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</si>
  <si>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</si>
  <si>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</si>
  <si>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</si>
  <si>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</si>
  <si>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</si>
  <si>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</si>
  <si>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</si>
  <si>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</si>
  <si>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</si>
  <si>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</si>
  <si>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</si>
  <si>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</si>
  <si>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</si>
  <si>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</si>
  <si>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</si>
  <si>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</si>
  <si>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</si>
  <si>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</si>
  <si>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</si>
  <si>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</si>
  <si>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</si>
  <si>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</si>
  <si>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</si>
  <si>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</si>
  <si>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</si>
  <si>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</si>
  <si>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</si>
  <si>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</si>
  <si>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</si>
  <si>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</si>
  <si>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</si>
  <si>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</si>
  <si>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</si>
  <si>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</si>
  <si>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</si>
  <si>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</si>
  <si>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</si>
  <si>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</si>
  <si>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</si>
  <si>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</si>
  <si>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</si>
  <si>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</si>
  <si>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</si>
  <si>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</si>
  <si>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</si>
  <si>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</si>
  <si>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</si>
  <si>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</si>
  <si>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</si>
  <si>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</si>
  <si>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</si>
  <si>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</si>
  <si>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</si>
  <si>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</si>
  <si>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</si>
  <si>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</si>
  <si>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</si>
  <si>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</si>
  <si>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</si>
  <si>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</si>
  <si>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</si>
  <si>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</si>
  <si>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</si>
  <si>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</si>
  <si>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</si>
  <si>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</si>
  <si>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</si>
  <si>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</si>
  <si>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</si>
  <si>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</si>
  <si>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</si>
  <si>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</si>
  <si>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</si>
  <si>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</si>
  <si>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</si>
  <si>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</si>
  <si>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</si>
  <si>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</si>
  <si>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</si>
  <si>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</si>
  <si>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</si>
  <si>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</si>
  <si>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</si>
  <si>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</si>
  <si>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</si>
  <si>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</si>
  <si>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</si>
  <si>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</si>
  <si>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</si>
  <si>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</si>
  <si>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</si>
  <si>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</si>
  <si>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</si>
  <si>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</si>
  <si>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</si>
  <si>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</si>
  <si>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</si>
  <si>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</si>
  <si>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</si>
  <si>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</si>
  <si>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</si>
  <si>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</si>
  <si>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</si>
  <si>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</si>
  <si>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</si>
  <si>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</si>
  <si>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</si>
  <si>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</si>
  <si>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</si>
  <si>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</si>
  <si>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</si>
  <si>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</si>
  <si>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</si>
  <si>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</si>
  <si>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</si>
  <si>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</si>
  <si>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</si>
  <si>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</si>
  <si>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</si>
  <si>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</si>
  <si>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</si>
  <si>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</si>
  <si>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</si>
  <si>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</si>
  <si>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</si>
  <si>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</si>
  <si>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</si>
  <si>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</si>
  <si>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</si>
  <si>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</si>
  <si>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</si>
  <si>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</si>
  <si>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</si>
  <si>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</si>
  <si>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</si>
  <si>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</si>
  <si>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</si>
  <si>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</si>
  <si>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</si>
  <si>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</si>
  <si>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</si>
  <si>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</si>
  <si>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</si>
  <si>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</si>
  <si>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</si>
  <si>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</si>
  <si>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</si>
  <si>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</si>
  <si>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</si>
  <si>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</si>
  <si>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</si>
  <si>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</si>
  <si>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</si>
  <si>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</si>
  <si>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</si>
  <si>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</si>
  <si>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</si>
  <si>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</si>
  <si>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</si>
  <si>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</si>
  <si>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</si>
  <si>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</si>
  <si>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</si>
  <si>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</si>
  <si>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</si>
  <si>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</si>
  <si>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</si>
  <si>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</si>
  <si>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</si>
  <si>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</si>
  <si>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</si>
  <si>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</si>
  <si>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</si>
  <si>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</si>
  <si>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</si>
  <si>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</si>
  <si>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</si>
  <si>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</si>
  <si>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</si>
  <si>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</si>
  <si>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</si>
  <si>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</si>
  <si>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</si>
  <si>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</si>
  <si>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</si>
  <si>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</si>
  <si>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</si>
  <si>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</si>
  <si>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</si>
  <si>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</si>
  <si>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</si>
  <si>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</si>
  <si>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</si>
  <si>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</si>
  <si>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</si>
  <si>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</si>
  <si>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</si>
  <si>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</si>
  <si>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</si>
  <si>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</si>
  <si>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</si>
  <si>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</si>
  <si>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</si>
  <si>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</si>
  <si>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</si>
  <si>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</si>
  <si>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</si>
  <si>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</si>
  <si>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</si>
  <si>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</si>
  <si>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</si>
  <si>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</si>
  <si>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</si>
  <si>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</si>
  <si>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</si>
  <si>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</si>
  <si>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</si>
  <si>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</si>
  <si>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</si>
  <si>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</si>
  <si>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</si>
  <si>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</si>
  <si>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</si>
  <si>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</si>
  <si>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</si>
  <si>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</si>
  <si>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</si>
  <si>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</si>
  <si>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</si>
  <si>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</si>
  <si>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</si>
  <si>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</si>
  <si>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</si>
  <si>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</si>
  <si>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</si>
  <si>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</si>
  <si>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</si>
  <si>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</si>
  <si>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</si>
  <si>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</si>
  <si>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</si>
  <si>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</si>
  <si>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</si>
  <si>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</si>
  <si>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</si>
  <si>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</si>
  <si>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</si>
  <si>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</si>
  <si>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</si>
  <si>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</si>
  <si>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</si>
  <si>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</si>
  <si>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</si>
  <si>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</si>
  <si>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</si>
  <si>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</si>
  <si>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</si>
  <si>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</si>
  <si>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</si>
  <si>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</si>
  <si>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</si>
  <si>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</si>
  <si>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</si>
  <si>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</si>
  <si>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</si>
  <si>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</si>
  <si>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</si>
  <si>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</si>
  <si>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</si>
  <si>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</si>
  <si>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</si>
  <si>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</si>
  <si>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</si>
  <si>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</si>
  <si>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</si>
  <si>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</si>
  <si>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</si>
  <si>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</si>
  <si>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</si>
  <si>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</si>
  <si>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</si>
  <si>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</si>
  <si>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</si>
  <si>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</si>
  <si>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</si>
  <si>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</si>
  <si>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</si>
  <si>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</si>
  <si>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</si>
  <si>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</si>
  <si>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</si>
  <si>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</si>
  <si>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</si>
  <si>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</si>
  <si>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</si>
  <si>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</si>
  <si>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</si>
  <si>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</si>
  <si>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</si>
  <si>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</si>
  <si>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</si>
  <si>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</si>
  <si>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</si>
  <si>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</si>
  <si>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</si>
  <si>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</si>
  <si>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</si>
  <si>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</si>
  <si>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</si>
  <si>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</si>
  <si>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</si>
  <si>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</si>
  <si>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</si>
  <si>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</si>
  <si>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</si>
  <si>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</si>
  <si>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</si>
  <si>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</si>
  <si>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</si>
  <si>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</si>
  <si>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</si>
  <si>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</si>
  <si>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</si>
  <si>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</si>
  <si>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</si>
  <si>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</si>
  <si>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</si>
  <si>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</si>
  <si>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</si>
  <si>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</si>
  <si>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</si>
  <si>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</si>
  <si>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</si>
  <si>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</si>
  <si>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</si>
  <si>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</si>
  <si>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</si>
  <si>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</si>
  <si>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</si>
  <si>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</si>
  <si>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</si>
  <si>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</si>
  <si>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</si>
  <si>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</si>
  <si>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</si>
  <si>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</si>
  <si>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</si>
  <si>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</si>
  <si>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</si>
  <si>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</si>
  <si>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</si>
  <si>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</si>
  <si>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</si>
  <si>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</si>
  <si>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</si>
  <si>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</si>
  <si>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</si>
  <si>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</si>
  <si>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</si>
  <si>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</si>
  <si>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</si>
  <si>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</si>
  <si>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</si>
  <si>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</si>
  <si>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</si>
  <si>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</si>
  <si>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</si>
  <si>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</si>
  <si>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</si>
  <si>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</si>
  <si>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</si>
  <si>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</si>
  <si>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</si>
  <si>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</si>
  <si>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</si>
  <si>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</si>
  <si>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</si>
  <si>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</si>
  <si>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</si>
  <si>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</si>
  <si>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</si>
  <si>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</si>
  <si>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</si>
  <si>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</si>
  <si>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</si>
  <si>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</si>
  <si>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</si>
  <si>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</si>
  <si>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</si>
  <si>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</si>
  <si>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</si>
  <si>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</si>
  <si>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</si>
  <si>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</si>
  <si>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</si>
  <si>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</si>
  <si>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</si>
  <si>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</si>
  <si>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</si>
  <si>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</si>
  <si>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</si>
  <si>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</si>
  <si>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</si>
  <si>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</si>
  <si>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</si>
  <si>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</si>
  <si>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</si>
  <si>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</si>
  <si>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</si>
  <si>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</si>
  <si>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</si>
  <si>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</si>
  <si>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</si>
  <si>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</si>
  <si>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</si>
  <si>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</si>
  <si>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</si>
  <si>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</si>
  <si>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</si>
  <si>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</si>
  <si>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</si>
  <si>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</si>
  <si>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</si>
  <si>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</si>
  <si>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</si>
  <si>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</si>
  <si>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</si>
  <si>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</si>
  <si>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</si>
  <si>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</si>
  <si>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</si>
  <si>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</si>
  <si>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</si>
  <si>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</si>
  <si>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</si>
  <si>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</si>
  <si>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</si>
  <si>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</si>
  <si>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</si>
  <si>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</si>
  <si>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</si>
  <si>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</si>
  <si>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</si>
  <si>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</si>
  <si>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</si>
  <si>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</si>
  <si>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</si>
  <si>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</si>
  <si>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</si>
  <si>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</si>
  <si>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</si>
  <si>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</si>
  <si>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</si>
  <si>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</si>
  <si>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</si>
  <si>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</si>
  <si>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</si>
  <si>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</si>
  <si>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</si>
  <si>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</si>
  <si>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</si>
  <si>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</si>
  <si>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</si>
  <si>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</si>
  <si>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</si>
  <si>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</si>
  <si>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</si>
  <si>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</si>
  <si>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</si>
  <si>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</si>
  <si>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</si>
  <si>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</si>
  <si>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</si>
  <si>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</si>
  <si>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</si>
  <si>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</si>
  <si>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</si>
  <si>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</si>
  <si>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</si>
  <si>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</si>
  <si>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</si>
  <si>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</si>
  <si>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</si>
  <si>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</si>
  <si>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</si>
  <si>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</si>
  <si>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</si>
  <si>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</si>
  <si>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</si>
  <si>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</si>
  <si>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</si>
  <si>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</si>
  <si>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</si>
  <si>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</si>
  <si>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</si>
  <si>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</si>
  <si>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</si>
  <si>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</si>
  <si>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</si>
  <si>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</si>
  <si>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</si>
  <si>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</si>
  <si>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</si>
  <si>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</si>
  <si>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</si>
  <si>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</si>
  <si>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</si>
  <si>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</si>
  <si>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</si>
  <si>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</si>
  <si>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</si>
  <si>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</si>
  <si>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</si>
  <si>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</si>
  <si>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</si>
  <si>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</si>
  <si>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</si>
  <si>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</si>
  <si>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</si>
  <si>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</si>
  <si>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</si>
  <si>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</si>
  <si>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</si>
  <si>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</si>
  <si>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</si>
  <si>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</si>
  <si>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</si>
  <si>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</si>
  <si>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</si>
  <si>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</si>
  <si>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</si>
  <si>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</si>
  <si>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</si>
  <si>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</si>
  <si>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</si>
  <si>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</si>
  <si>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</si>
  <si>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</si>
  <si>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</si>
  <si>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</si>
  <si>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</si>
  <si>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</si>
  <si>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</si>
  <si>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</si>
  <si>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</si>
  <si>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</si>
  <si>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</si>
  <si>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</si>
  <si>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</si>
  <si>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</si>
  <si>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</si>
  <si>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</si>
  <si>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</si>
  <si>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</si>
  <si>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</si>
  <si>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</si>
  <si>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</si>
  <si>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</si>
  <si>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</si>
  <si>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</si>
  <si>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</si>
  <si>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</si>
  <si>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</si>
  <si>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</si>
  <si>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</si>
  <si>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</si>
  <si>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</si>
  <si>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</si>
  <si>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</si>
  <si>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</si>
  <si>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</si>
  <si>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</si>
  <si>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</si>
  <si>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</si>
  <si>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</si>
  <si>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</si>
  <si>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</si>
  <si>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</si>
  <si>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</si>
  <si>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</si>
  <si>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</si>
  <si>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</si>
  <si>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</si>
  <si>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</si>
  <si>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</si>
  <si>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</si>
  <si>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</si>
  <si>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</si>
  <si>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</si>
  <si>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</si>
  <si>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</si>
  <si>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</si>
  <si>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</si>
  <si>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</si>
  <si>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</si>
  <si>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</si>
  <si>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</si>
  <si>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</si>
  <si>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</si>
  <si>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</si>
  <si>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</si>
  <si>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</si>
  <si>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</si>
  <si>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</si>
  <si>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</si>
  <si>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</si>
  <si>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</si>
  <si>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</si>
  <si>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</si>
  <si>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</si>
  <si>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</si>
  <si>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</si>
  <si>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</si>
  <si>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</si>
  <si>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</si>
  <si>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</si>
  <si>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</si>
  <si>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</si>
  <si>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</si>
  <si>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</si>
  <si>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</si>
  <si>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</si>
  <si>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</si>
  <si>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</si>
  <si>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</si>
  <si>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</si>
  <si>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</si>
  <si>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</si>
  <si>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</si>
  <si>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</si>
  <si>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</si>
  <si>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</si>
  <si>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</si>
  <si>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</si>
  <si>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</si>
  <si>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</si>
  <si>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</si>
  <si>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</si>
  <si>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</si>
  <si>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</si>
  <si>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</si>
  <si>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</si>
  <si>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</si>
  <si>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</si>
  <si>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</si>
  <si>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</si>
  <si>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</si>
  <si>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</si>
  <si>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</si>
  <si>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</si>
  <si>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</si>
  <si>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</si>
  <si>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</si>
  <si>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</si>
  <si>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</si>
  <si>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</si>
  <si>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</si>
  <si>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</si>
  <si>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</si>
  <si>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</si>
  <si>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</si>
  <si>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</si>
  <si>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</si>
  <si>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</si>
  <si>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</si>
  <si>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</si>
  <si>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</si>
  <si>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</si>
  <si>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</si>
  <si>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</si>
  <si>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</si>
  <si>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</si>
  <si>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</si>
  <si>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</si>
  <si>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</si>
  <si>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</si>
  <si>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</si>
  <si>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</si>
  <si>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</si>
  <si>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</si>
  <si>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</si>
  <si>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</si>
  <si>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</si>
  <si>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</si>
  <si>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</si>
  <si>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</si>
  <si>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</si>
  <si>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</si>
  <si>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</si>
  <si>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</si>
  <si>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</si>
  <si>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</si>
  <si>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</si>
  <si>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</si>
  <si>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</si>
  <si>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</si>
  <si>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</si>
  <si>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</si>
  <si>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</si>
  <si>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</si>
  <si>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</si>
  <si>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</si>
  <si>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</si>
  <si>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</si>
  <si>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</si>
  <si>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</si>
  <si>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</si>
  <si>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</si>
  <si>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</si>
  <si>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</si>
  <si>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</si>
  <si>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</si>
  <si>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</si>
  <si>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</si>
  <si>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</si>
  <si>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</si>
  <si>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</si>
  <si>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</si>
  <si>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</si>
  <si>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</si>
  <si>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</si>
  <si>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</si>
  <si>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</si>
  <si>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</si>
  <si>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</si>
  <si>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</si>
  <si>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</si>
  <si>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</si>
  <si>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</si>
  <si>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</si>
  <si>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</si>
  <si>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</si>
  <si>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</si>
  <si>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</si>
  <si>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</si>
  <si>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</si>
  <si>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</si>
  <si>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</si>
  <si>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</si>
  <si>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</si>
  <si>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</si>
  <si>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</si>
  <si>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</si>
  <si>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</si>
  <si>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</si>
  <si>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</si>
  <si>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</si>
  <si>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</si>
  <si>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</si>
  <si>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</si>
  <si>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</si>
  <si>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</si>
  <si>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</si>
  <si>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</si>
  <si>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</si>
  <si>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</si>
  <si>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</si>
  <si>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</si>
  <si>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</si>
  <si>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</si>
  <si>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</si>
  <si>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</si>
  <si>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</si>
  <si>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</si>
  <si>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</si>
  <si>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</si>
  <si>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</si>
  <si>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</si>
  <si>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</si>
  <si>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</si>
  <si>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</si>
  <si>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</si>
  <si>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</si>
  <si>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</si>
  <si>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</si>
  <si>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</si>
  <si>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</si>
  <si>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</si>
  <si>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</si>
  <si>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</si>
  <si>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</si>
  <si>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</si>
  <si>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</si>
  <si>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</si>
  <si>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</si>
  <si>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</si>
  <si>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</si>
  <si>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</si>
  <si>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</si>
  <si>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</si>
  <si>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</si>
  <si>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</si>
  <si>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</si>
  <si>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</si>
  <si>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</si>
  <si>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</si>
  <si>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</si>
  <si>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</si>
  <si>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</si>
  <si>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</si>
  <si>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</si>
  <si>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</si>
  <si>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</si>
  <si>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</si>
  <si>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</si>
  <si>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</si>
  <si>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</si>
  <si>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</si>
  <si>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</si>
  <si>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</si>
  <si>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</si>
  <si>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</si>
  <si>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</si>
  <si>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</si>
  <si>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</si>
  <si>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</si>
  <si>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</si>
  <si>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</si>
  <si>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</si>
  <si>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</si>
  <si>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</si>
  <si>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</si>
  <si>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</si>
  <si>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</si>
  <si>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</si>
  <si>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</si>
  <si>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</si>
  <si>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</si>
  <si>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</si>
  <si>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</si>
  <si>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</si>
  <si>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</si>
  <si>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</si>
  <si>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</si>
  <si>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</si>
  <si>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</si>
  <si>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</si>
  <si>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</si>
  <si>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</si>
  <si>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</si>
  <si>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</si>
  <si>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</si>
  <si>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</si>
  <si>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</si>
  <si>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</si>
  <si>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</si>
  <si>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</si>
  <si>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</si>
  <si>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</si>
  <si>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</si>
  <si>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</si>
  <si>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</si>
  <si>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</si>
  <si>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</si>
  <si>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</si>
  <si>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</si>
  <si>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</si>
  <si>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</si>
  <si>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</si>
  <si>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</si>
  <si>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</si>
  <si>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</si>
  <si>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</si>
  <si>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</si>
  <si>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</si>
  <si>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</si>
  <si>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</si>
  <si>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</si>
  <si>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</si>
  <si>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</si>
  <si>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</si>
  <si>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</si>
  <si>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</si>
  <si>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</si>
  <si>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</si>
  <si>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</si>
  <si>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</si>
  <si>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</si>
  <si>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</si>
  <si>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</si>
  <si>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</si>
  <si>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</si>
  <si>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</si>
  <si>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</si>
  <si>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</si>
  <si>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</si>
  <si>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</si>
  <si>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</si>
  <si>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</si>
  <si>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</si>
  <si>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</si>
  <si>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</si>
  <si>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</si>
  <si>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</si>
  <si>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</si>
  <si>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</si>
  <si>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</si>
  <si>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</si>
  <si>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</si>
  <si>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</si>
  <si>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</si>
  <si>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</si>
  <si>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</si>
  <si>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</si>
  <si>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</si>
  <si>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</si>
  <si>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</si>
  <si>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</si>
  <si>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</si>
  <si>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</si>
  <si>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</si>
  <si>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</si>
  <si>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</si>
  <si>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</si>
  <si>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</si>
  <si>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</si>
  <si>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</si>
  <si>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</si>
  <si>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</si>
  <si>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</si>
  <si>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</si>
  <si>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</si>
  <si>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</si>
  <si>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</si>
  <si>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</si>
  <si>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</si>
  <si>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</si>
  <si>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</si>
  <si>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</si>
  <si>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</si>
  <si>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</si>
  <si>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</si>
  <si>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</si>
  <si>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</si>
  <si>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</si>
  <si>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</si>
  <si>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</si>
  <si>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</si>
  <si>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</si>
  <si>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</si>
  <si>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</si>
  <si>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</si>
  <si>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</si>
  <si>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</si>
  <si>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</si>
  <si>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</si>
  <si>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</si>
  <si>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</si>
  <si>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</si>
  <si>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</si>
  <si>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</si>
  <si>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</si>
  <si>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</si>
  <si>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</si>
  <si>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</si>
  <si>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</si>
  <si>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</si>
  <si>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</si>
  <si>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</si>
  <si>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</si>
  <si>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</si>
  <si>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</si>
  <si>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</si>
  <si>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</si>
  <si>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</si>
  <si>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</si>
  <si>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</si>
  <si>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</si>
  <si>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</si>
  <si>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</si>
  <si>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</si>
  <si>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</si>
  <si>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</si>
  <si>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</si>
  <si>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</si>
  <si>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</si>
  <si>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</si>
  <si>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</si>
  <si>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</si>
  <si>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</si>
  <si>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</si>
  <si>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</si>
  <si>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</si>
  <si>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</si>
  <si>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</si>
  <si>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</si>
  <si>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</si>
  <si>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</si>
  <si>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</si>
  <si>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</si>
  <si>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</si>
  <si>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</si>
  <si>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</si>
  <si>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</si>
  <si>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</si>
  <si>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</si>
  <si>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</si>
  <si>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</si>
  <si>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</si>
  <si>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</si>
  <si>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</si>
  <si>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</si>
  <si>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</si>
  <si>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</si>
  <si>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</si>
  <si>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</si>
  <si>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</si>
  <si>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</si>
  <si>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</si>
  <si>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</si>
  <si>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</si>
  <si>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</si>
  <si>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</si>
  <si>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</si>
  <si>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</si>
  <si>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</si>
  <si>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</si>
  <si>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</si>
  <si>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</si>
  <si>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</si>
  <si>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</si>
  <si>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</si>
  <si>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</si>
  <si>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</si>
  <si>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</si>
  <si>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</si>
  <si>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</si>
  <si>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</si>
  <si>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</si>
  <si>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</si>
  <si>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</si>
  <si>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</si>
  <si>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</si>
  <si>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</si>
  <si>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</si>
  <si>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</si>
  <si>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</si>
  <si>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</si>
  <si>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</si>
  <si>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</si>
  <si>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</si>
  <si>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</si>
  <si>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</si>
  <si>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</si>
  <si>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</si>
  <si>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</si>
  <si>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</si>
  <si>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</si>
  <si>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</si>
  <si>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</si>
  <si>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</si>
  <si>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</si>
  <si>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</si>
  <si>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</si>
  <si>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</si>
  <si>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</si>
  <si>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</si>
  <si>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</si>
  <si>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</si>
  <si>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</si>
  <si>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</si>
  <si>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</si>
  <si>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</si>
  <si>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</si>
  <si>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</si>
  <si>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</si>
  <si>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</si>
  <si>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</si>
  <si>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</si>
  <si>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</si>
  <si>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</si>
  <si>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</si>
  <si>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</si>
  <si>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</si>
  <si>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</si>
  <si>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</si>
  <si>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</si>
  <si>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</si>
  <si>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</si>
  <si>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</si>
  <si>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</si>
  <si>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</si>
  <si>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</si>
  <si>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</si>
  <si>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</si>
  <si>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</si>
  <si>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</si>
  <si>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</si>
  <si>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</si>
  <si>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</si>
  <si>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</si>
  <si>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</si>
  <si>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</si>
  <si>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</si>
  <si>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</si>
  <si>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</si>
  <si>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</si>
  <si>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</si>
  <si>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</si>
  <si>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</si>
  <si>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</si>
  <si>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</si>
  <si>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</si>
  <si>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</si>
  <si>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</si>
  <si>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</si>
  <si>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</si>
  <si>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</si>
  <si>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</si>
  <si>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</si>
  <si>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</si>
  <si>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</si>
  <si>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</si>
  <si>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</si>
  <si>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</si>
  <si>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</si>
  <si>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</si>
  <si>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</si>
  <si>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</si>
  <si>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</si>
  <si>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</si>
  <si>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</si>
  <si>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</si>
  <si>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</si>
  <si>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</si>
  <si>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</si>
  <si>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</si>
  <si>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</si>
  <si>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</si>
  <si>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</si>
  <si>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</si>
  <si>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</si>
  <si>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</si>
  <si>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</si>
  <si>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</si>
  <si>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</si>
  <si>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</si>
  <si>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</si>
  <si>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</si>
  <si>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</si>
  <si>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</si>
  <si>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</si>
  <si>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</si>
  <si>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</si>
  <si>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</si>
  <si>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</si>
  <si>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</si>
  <si>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</si>
  <si>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</si>
  <si>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</si>
  <si>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</si>
  <si>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</si>
  <si>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</si>
  <si>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</si>
  <si>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</si>
  <si>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</si>
  <si>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</si>
  <si>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</si>
  <si>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</si>
  <si>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</si>
  <si>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</si>
  <si>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</si>
  <si>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</si>
  <si>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</si>
  <si>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</si>
  <si>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</si>
  <si>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</si>
  <si>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</si>
  <si>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</si>
  <si>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</si>
  <si>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</si>
  <si>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</si>
  <si>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</si>
  <si>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</si>
  <si>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</si>
  <si>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</si>
  <si>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</si>
  <si>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</si>
  <si>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</si>
  <si>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</si>
  <si>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</si>
  <si>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</si>
  <si>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</si>
  <si>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</si>
  <si>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</si>
  <si>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</si>
  <si>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</si>
  <si>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</si>
  <si>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</si>
  <si>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</si>
  <si>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</si>
  <si>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</si>
  <si>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</si>
  <si>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</si>
  <si>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</si>
  <si>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</si>
  <si>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</si>
  <si>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</si>
  <si>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</si>
  <si>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</si>
  <si>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</si>
  <si>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</si>
  <si>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</si>
  <si>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</si>
  <si>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</si>
  <si>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</si>
  <si>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</si>
  <si>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</si>
  <si>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</si>
  <si>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</si>
  <si>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</si>
  <si>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</si>
  <si>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</si>
  <si>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</si>
  <si>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</si>
  <si>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</si>
  <si>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</si>
  <si>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</si>
  <si>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</si>
  <si>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</si>
  <si>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</si>
  <si>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</si>
  <si>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</si>
  <si>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</si>
  <si>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</si>
  <si>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</si>
  <si>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</si>
  <si>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</si>
  <si>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</si>
  <si>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</si>
  <si>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</si>
  <si>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</si>
  <si>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</si>
  <si>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</si>
  <si>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</si>
  <si>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</si>
  <si>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</si>
  <si>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</si>
  <si>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</si>
  <si>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</si>
  <si>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</si>
  <si>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</si>
  <si>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</si>
  <si>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</si>
  <si>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</si>
  <si>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</si>
  <si>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</si>
  <si>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</si>
  <si>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</si>
  <si>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</si>
  <si>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</si>
  <si>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</si>
  <si>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</si>
  <si>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</si>
  <si>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</si>
  <si>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</si>
  <si>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</si>
  <si>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</si>
  <si>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</si>
  <si>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</si>
  <si>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</si>
  <si>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</si>
  <si>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</si>
  <si>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</si>
  <si>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</si>
  <si>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</si>
  <si>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</si>
  <si>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</si>
  <si>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</si>
  <si>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</si>
  <si>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</si>
  <si>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</si>
  <si>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</si>
  <si>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</si>
  <si>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</si>
  <si>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</si>
  <si>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</si>
  <si>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</si>
  <si>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</si>
  <si>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</si>
  <si>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</si>
  <si>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</si>
  <si>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</si>
  <si>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</si>
  <si>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</si>
  <si>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</si>
  <si>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</si>
  <si>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</si>
  <si>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</si>
  <si>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</si>
  <si>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</si>
  <si>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</si>
  <si>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</si>
  <si>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</si>
  <si>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</si>
  <si>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</si>
  <si>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</si>
  <si>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</si>
  <si>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</si>
  <si>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</si>
  <si>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</si>
  <si>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</si>
  <si>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</si>
  <si>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</si>
  <si>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</si>
  <si>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</si>
  <si>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</si>
  <si>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</si>
  <si>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</si>
  <si>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</si>
  <si>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</si>
  <si>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</si>
  <si>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</si>
  <si>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</si>
  <si>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</si>
  <si>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</si>
  <si>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</si>
  <si>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</si>
  <si>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</si>
  <si>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</si>
  <si>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</si>
  <si>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</si>
  <si>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</si>
  <si>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</si>
  <si>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</si>
  <si>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</si>
  <si>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</si>
  <si>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</si>
  <si>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</si>
  <si>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</si>
  <si>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</si>
  <si>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</si>
  <si>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</si>
  <si>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</si>
  <si>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</si>
  <si>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</si>
  <si>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</si>
  <si>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</si>
  <si>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</si>
  <si>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</si>
  <si>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</si>
  <si>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</si>
  <si>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</si>
  <si>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</si>
  <si>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</si>
  <si>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</si>
  <si>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</si>
  <si>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</si>
  <si>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</si>
  <si>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</si>
  <si>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</si>
  <si>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</si>
  <si>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</si>
  <si>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</si>
  <si>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</si>
  <si>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</si>
  <si>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</si>
  <si>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</si>
  <si>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</si>
  <si>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</si>
  <si>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</si>
  <si>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</si>
  <si>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</si>
  <si>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</si>
  <si>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</si>
  <si>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</si>
  <si>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</si>
  <si>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</si>
  <si>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</si>
  <si>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</si>
  <si>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</si>
  <si>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</si>
  <si>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</si>
  <si>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</si>
  <si>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</si>
  <si>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</si>
  <si>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</si>
  <si>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</si>
  <si>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</si>
  <si>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</si>
  <si>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</si>
  <si>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</si>
  <si>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</si>
  <si>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</si>
  <si>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</si>
  <si>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</si>
  <si>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</si>
  <si>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</si>
  <si>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</si>
  <si>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</si>
  <si>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</si>
  <si>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</si>
  <si>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</si>
  <si>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</si>
  <si>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</si>
  <si>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</si>
  <si>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</si>
  <si>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</si>
  <si>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</si>
  <si>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</si>
  <si>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</si>
  <si>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</si>
  <si>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</si>
  <si>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</si>
  <si>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</si>
  <si>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</si>
  <si>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</si>
  <si>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</si>
  <si>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</si>
  <si>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</si>
  <si>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</si>
  <si>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</si>
  <si>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</si>
  <si>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</si>
  <si>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</si>
  <si>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</si>
  <si>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</si>
  <si>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</si>
  <si>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</si>
  <si>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</si>
  <si>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</si>
  <si>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</si>
  <si>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</si>
  <si>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</si>
  <si>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</si>
  <si>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</si>
  <si>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</si>
  <si>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</si>
  <si>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</si>
  <si>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</si>
  <si>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</si>
  <si>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</si>
  <si>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</si>
  <si>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</si>
  <si>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</si>
  <si>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</si>
  <si>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</si>
  <si>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</si>
  <si>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</si>
  <si>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</si>
  <si>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</si>
  <si>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</si>
  <si>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</si>
  <si>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</si>
  <si>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</si>
  <si>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</si>
  <si>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</si>
  <si>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</si>
  <si>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</si>
  <si>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</si>
  <si>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</si>
  <si>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</si>
  <si>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</si>
  <si>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</si>
  <si>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</si>
  <si>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</si>
  <si>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</si>
  <si>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</si>
  <si>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</si>
  <si>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</si>
  <si>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</si>
  <si>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</si>
  <si>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</si>
  <si>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</si>
  <si>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</si>
  <si>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</si>
  <si>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</si>
  <si>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</si>
  <si>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</si>
  <si>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</si>
  <si>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</si>
  <si>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</si>
  <si>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</si>
  <si>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</si>
  <si>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</si>
  <si>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</si>
  <si>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</si>
  <si>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</si>
  <si>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</si>
  <si>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</si>
  <si>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</si>
  <si>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</si>
  <si>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</si>
  <si>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</si>
  <si>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</si>
  <si>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</si>
  <si>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</si>
  <si>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</si>
  <si>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</si>
  <si>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</si>
  <si>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</si>
  <si>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</si>
  <si>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</si>
  <si>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</si>
  <si>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</si>
  <si>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</si>
  <si>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</si>
  <si>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</si>
  <si>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</si>
  <si>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</si>
  <si>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</si>
  <si>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</si>
  <si>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</si>
  <si>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</si>
  <si>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</si>
  <si>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</si>
  <si>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</si>
  <si>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</si>
  <si>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</si>
  <si>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</si>
  <si>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</si>
  <si>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</si>
  <si>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</si>
  <si>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</si>
  <si>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</si>
  <si>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</si>
  <si>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</si>
  <si>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</si>
  <si>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</si>
  <si>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</si>
  <si>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</si>
  <si>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</si>
  <si>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</si>
  <si>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</si>
  <si>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</si>
  <si>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</si>
  <si>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</si>
  <si>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</si>
  <si>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</si>
  <si>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</si>
  <si>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</si>
  <si>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</si>
  <si>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</si>
  <si>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</si>
  <si>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</si>
  <si>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</si>
  <si>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</si>
  <si>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</si>
  <si>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</si>
  <si>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</si>
  <si>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</si>
  <si>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</si>
  <si>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</si>
  <si>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</si>
  <si>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</si>
  <si>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</si>
  <si>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</si>
  <si>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</si>
  <si>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</si>
  <si>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</si>
  <si>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</si>
  <si>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</si>
  <si>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</si>
  <si>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</si>
  <si>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</si>
  <si>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</si>
  <si>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</si>
  <si>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</si>
  <si>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</si>
  <si>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</si>
  <si>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</si>
  <si>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</si>
  <si>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</si>
  <si>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</si>
  <si>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</si>
  <si>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</si>
  <si>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</si>
  <si>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</si>
  <si>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</si>
  <si>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</si>
  <si>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</si>
  <si>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</si>
  <si>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</si>
  <si>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</si>
  <si>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</si>
  <si>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</si>
  <si>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</si>
  <si>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</si>
  <si>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</si>
  <si>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</si>
  <si>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</si>
  <si>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</si>
  <si>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</si>
  <si>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</si>
  <si>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</si>
  <si>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</si>
  <si>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</si>
  <si>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</si>
  <si>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</si>
  <si>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</si>
  <si>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</si>
  <si>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</si>
  <si>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</si>
  <si>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</si>
  <si>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</si>
  <si>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</si>
  <si>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</si>
  <si>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</si>
  <si>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</si>
  <si>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</si>
  <si>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</si>
  <si>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</si>
  <si>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</si>
  <si>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</si>
  <si>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</si>
  <si>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</si>
  <si>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</si>
  <si>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</si>
  <si>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</si>
  <si>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</si>
  <si>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</si>
  <si>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</si>
  <si>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</si>
  <si>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</si>
  <si>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</si>
  <si>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</si>
  <si>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</si>
  <si>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</si>
  <si>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</si>
  <si>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</si>
  <si>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</si>
  <si>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</si>
  <si>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</si>
  <si>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</si>
  <si>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</si>
  <si>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</si>
  <si>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</si>
  <si>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</si>
  <si>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</si>
  <si>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</si>
  <si>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</si>
  <si>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</si>
  <si>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</si>
  <si>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</si>
  <si>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</si>
  <si>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</si>
  <si>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</si>
  <si>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</si>
  <si>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</si>
  <si>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</si>
  <si>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</si>
  <si>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</si>
  <si>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</si>
  <si>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</si>
  <si>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</si>
  <si>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</si>
  <si>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</si>
  <si>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</si>
  <si>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</si>
  <si>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</si>
  <si>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</si>
  <si>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</si>
  <si>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</si>
  <si>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</si>
  <si>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</si>
  <si>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</si>
  <si>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</si>
  <si>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</si>
  <si>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</si>
  <si>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</si>
  <si>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</si>
  <si>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</si>
  <si>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</si>
  <si>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</si>
  <si>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</si>
  <si>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</si>
  <si>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</si>
  <si>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</si>
  <si>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</si>
  <si>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</si>
  <si>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</si>
  <si>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</si>
  <si>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</si>
  <si>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</si>
  <si>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</si>
  <si>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</si>
  <si>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</si>
  <si>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</si>
  <si>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</si>
  <si>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</si>
  <si>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</si>
  <si>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</si>
  <si>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</si>
  <si>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</si>
  <si>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</si>
  <si>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</si>
  <si>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</si>
  <si>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</si>
  <si>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</si>
  <si>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</si>
  <si>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</si>
  <si>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</si>
  <si>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</si>
  <si>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</si>
  <si>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</si>
  <si>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</si>
  <si>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</si>
  <si>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</si>
  <si>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</si>
  <si>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</si>
  <si>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</si>
  <si>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</si>
  <si>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</si>
  <si>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</si>
  <si>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</si>
  <si>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</si>
  <si>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</si>
  <si>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</si>
  <si>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</si>
  <si>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</si>
  <si>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</si>
  <si>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</si>
  <si>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</si>
  <si>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</si>
  <si>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</si>
  <si>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</si>
  <si>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</si>
  <si>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</si>
  <si>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</si>
  <si>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</si>
  <si>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</si>
  <si>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</si>
  <si>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</si>
  <si>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</si>
  <si>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</si>
  <si>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</si>
  <si>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</si>
  <si>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</si>
  <si>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</si>
  <si>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</si>
  <si>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</si>
  <si>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</si>
  <si>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</si>
  <si>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</si>
  <si>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</si>
  <si>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</si>
  <si>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</si>
  <si>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</si>
  <si>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</si>
  <si>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</si>
  <si>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</si>
  <si>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</si>
  <si>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</si>
  <si>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</si>
  <si>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</si>
  <si>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</si>
  <si>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</si>
  <si>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</si>
  <si>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</si>
  <si>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</si>
  <si>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</si>
  <si>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</si>
  <si>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</si>
  <si>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</si>
  <si>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</si>
  <si>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</si>
  <si>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</si>
  <si>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</si>
  <si>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</si>
  <si>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</si>
  <si>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</si>
  <si>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</si>
  <si>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</si>
  <si>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</si>
  <si>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</si>
  <si>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</si>
  <si>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</si>
  <si>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</si>
  <si>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</si>
  <si>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</si>
  <si>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</si>
  <si>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</si>
  <si>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</si>
  <si>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</si>
  <si>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</si>
  <si>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</si>
  <si>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</si>
  <si>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</si>
  <si>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</si>
  <si>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</si>
  <si>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</si>
  <si>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</si>
  <si>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</si>
  <si>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</si>
  <si>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</si>
  <si>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</si>
  <si>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</si>
  <si>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</si>
  <si>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</si>
  <si>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</si>
  <si>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</si>
  <si>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</si>
  <si>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</si>
  <si>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</si>
  <si>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</si>
  <si>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</si>
  <si>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</si>
  <si>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</si>
  <si>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</si>
  <si>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</si>
  <si>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</si>
  <si>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</si>
  <si>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</si>
  <si>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</si>
  <si>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</si>
  <si>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</si>
  <si>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</si>
  <si>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</si>
  <si>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</si>
  <si>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</si>
  <si>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</si>
  <si>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</si>
  <si>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</si>
  <si>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</si>
  <si>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</si>
  <si>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</si>
  <si>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</si>
  <si>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</si>
  <si>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</si>
  <si>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</si>
  <si>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</si>
  <si>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</si>
  <si>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</si>
  <si>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</si>
  <si>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</si>
  <si>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</si>
  <si>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</si>
  <si>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</si>
  <si>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</si>
  <si>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</si>
  <si>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</si>
  <si>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</si>
  <si>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</si>
  <si>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</si>
  <si>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</si>
  <si>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</si>
  <si>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</si>
  <si>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</si>
  <si>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</si>
  <si>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</si>
  <si>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</si>
  <si>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</si>
  <si>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</si>
  <si>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</si>
  <si>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</si>
  <si>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</si>
  <si>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</si>
  <si>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</si>
  <si>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</si>
  <si>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</si>
  <si>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</si>
  <si>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</si>
  <si>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</si>
  <si>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</si>
  <si>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</si>
  <si>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</si>
  <si>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</si>
  <si>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</si>
  <si>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</si>
  <si>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</si>
  <si>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</si>
  <si>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</si>
  <si>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</si>
  <si>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</si>
  <si>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</si>
  <si>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</si>
  <si>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</si>
  <si>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</si>
  <si>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</si>
  <si>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</si>
  <si>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</si>
  <si>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</si>
  <si>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</si>
  <si>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</si>
  <si>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</si>
  <si>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</si>
  <si>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</si>
  <si>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</si>
  <si>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</si>
  <si>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</si>
  <si>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</si>
  <si>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</si>
  <si>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</si>
  <si>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</si>
  <si>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</si>
  <si>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</si>
  <si>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</si>
  <si>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</si>
  <si>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</si>
  <si>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</si>
  <si>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</si>
  <si>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</si>
  <si>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</si>
  <si>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</si>
  <si>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</si>
  <si>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</si>
  <si>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</si>
  <si>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</si>
  <si>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</si>
  <si>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</si>
  <si>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</si>
  <si>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</si>
  <si>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</si>
  <si>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</si>
  <si>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</si>
  <si>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</si>
  <si>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</si>
  <si>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</si>
  <si>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</si>
  <si>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</si>
  <si>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</si>
  <si>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</si>
  <si>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</si>
  <si>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</si>
  <si>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</si>
  <si>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</si>
  <si>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</si>
  <si>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</si>
  <si>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</si>
  <si>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</si>
  <si>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</si>
  <si>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</si>
  <si>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</si>
  <si>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</si>
  <si>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</si>
  <si>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</si>
  <si>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</si>
  <si>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</si>
  <si>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</si>
  <si>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</si>
  <si>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</si>
  <si>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</si>
  <si>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</si>
  <si>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</si>
  <si>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</si>
  <si>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</si>
  <si>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</si>
  <si>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</si>
  <si>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</si>
  <si>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</si>
  <si>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</si>
  <si>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</si>
  <si>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</si>
  <si>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</si>
  <si>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</si>
  <si>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</si>
  <si>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</si>
  <si>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</si>
  <si>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</si>
  <si>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</si>
  <si>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</si>
  <si>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</si>
  <si>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</si>
  <si>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</si>
  <si>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</si>
  <si>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</si>
  <si>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</si>
  <si>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</si>
  <si>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</si>
  <si>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</si>
  <si>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</si>
  <si>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</si>
  <si>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</si>
  <si>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</si>
  <si>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</si>
  <si>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</si>
  <si>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</si>
  <si>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</si>
  <si>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</si>
  <si>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</si>
  <si>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</si>
  <si>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</si>
  <si>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</si>
  <si>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</si>
  <si>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</si>
  <si>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</si>
  <si>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</si>
  <si>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</si>
  <si>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</si>
  <si>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</si>
  <si>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</si>
  <si>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</si>
  <si>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</si>
  <si>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</si>
  <si>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</si>
  <si>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</si>
  <si>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</si>
  <si>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</si>
  <si>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</si>
  <si>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</si>
  <si>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</si>
  <si>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</si>
  <si>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</si>
  <si>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</si>
  <si>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</si>
  <si>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</si>
  <si>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</si>
  <si>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</si>
  <si>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</si>
  <si>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</si>
  <si>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</si>
  <si>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</si>
  <si>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</si>
  <si>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</si>
  <si>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</si>
  <si>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</si>
  <si>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</si>
  <si>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</si>
  <si>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</si>
  <si>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</si>
  <si>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</si>
  <si>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</si>
  <si>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</si>
  <si>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</si>
  <si>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</si>
  <si>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</si>
  <si>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</si>
  <si>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</si>
  <si>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</si>
  <si>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</si>
  <si>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</si>
  <si>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</si>
  <si>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</si>
  <si>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</si>
  <si>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</si>
  <si>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</si>
  <si>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</si>
  <si>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</si>
  <si>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</si>
  <si>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</si>
  <si>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</si>
  <si>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</si>
  <si>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</si>
  <si>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</si>
  <si>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</si>
  <si>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</si>
  <si>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</si>
  <si>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</si>
  <si>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</si>
  <si>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</si>
  <si>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</si>
  <si>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</si>
  <si>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</si>
  <si>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</si>
  <si>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</si>
  <si>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</si>
  <si>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</si>
  <si>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</si>
  <si>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</si>
  <si>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</si>
  <si>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</si>
  <si>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</si>
  <si>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</si>
  <si>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</si>
  <si>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</si>
  <si>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</si>
  <si>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</si>
  <si>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</si>
  <si>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</si>
  <si>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</si>
  <si>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</si>
  <si>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</si>
  <si>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</si>
  <si>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</si>
  <si>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</si>
  <si>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</si>
  <si>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</si>
  <si>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</si>
  <si>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</si>
  <si>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</si>
  <si>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</si>
  <si>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</si>
  <si>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</si>
  <si>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</si>
  <si>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</si>
  <si>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</si>
  <si>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</si>
  <si>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</si>
  <si>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</si>
  <si>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</si>
  <si>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</si>
  <si>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</si>
  <si>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</si>
  <si>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</si>
  <si>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</si>
  <si>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</si>
  <si>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</si>
  <si>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</si>
  <si>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</si>
  <si>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</si>
  <si>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</si>
  <si>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</si>
  <si>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</si>
  <si>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</si>
  <si>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</si>
  <si>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</si>
  <si>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</si>
  <si>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</si>
  <si>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</si>
  <si>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</si>
  <si>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</si>
  <si>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</si>
  <si>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</si>
  <si>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</si>
  <si>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</si>
  <si>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</si>
  <si>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</si>
  <si>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</si>
  <si>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</si>
  <si>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</si>
  <si>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</si>
  <si>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</si>
  <si>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</si>
  <si>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</si>
  <si>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</si>
  <si>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</si>
  <si>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</si>
  <si>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</si>
  <si>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</si>
  <si>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</si>
  <si>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</si>
  <si>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</si>
  <si>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</si>
  <si>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</si>
  <si>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</si>
  <si>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</si>
  <si>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</si>
  <si>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</si>
  <si>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</si>
  <si>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</si>
  <si>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</si>
  <si>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</si>
  <si>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</si>
  <si>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</si>
  <si>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</si>
  <si>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</si>
  <si>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</si>
  <si>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</si>
  <si>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</si>
  <si>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</si>
  <si>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</si>
  <si>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</si>
  <si>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</si>
  <si>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</si>
  <si>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</si>
  <si>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</si>
  <si>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</si>
  <si>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</si>
  <si>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</si>
  <si>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</si>
  <si>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</si>
  <si>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</si>
  <si>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</si>
  <si>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</si>
  <si>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</si>
  <si>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</si>
  <si>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</si>
  <si>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</si>
  <si>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</si>
  <si>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</si>
  <si>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</si>
  <si>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</si>
  <si>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</si>
  <si>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</si>
  <si>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</si>
  <si>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</si>
  <si>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</si>
  <si>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</si>
  <si>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</si>
  <si>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</si>
  <si>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</si>
  <si>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</si>
  <si>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</si>
  <si>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</si>
  <si>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</si>
  <si>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</si>
  <si>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</si>
  <si>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</si>
  <si>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</si>
  <si>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</si>
  <si>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</si>
  <si>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</si>
  <si>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</si>
  <si>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</si>
  <si>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</si>
  <si>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</si>
  <si>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</si>
  <si>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</si>
  <si>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</si>
  <si>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</si>
  <si>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</si>
  <si>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</si>
  <si>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</si>
  <si>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</si>
  <si>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</si>
  <si>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</si>
  <si>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</si>
  <si>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</si>
  <si>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</si>
  <si>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</si>
  <si>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</si>
  <si>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</si>
  <si>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</si>
  <si>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</si>
  <si>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</si>
  <si>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</si>
  <si>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</si>
  <si>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</si>
  <si>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</si>
  <si>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</si>
  <si>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</si>
  <si>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</si>
  <si>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</si>
  <si>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</si>
  <si>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</si>
  <si>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</si>
  <si>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</si>
  <si>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</si>
  <si>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</si>
  <si>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</si>
  <si>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</si>
  <si>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</si>
  <si>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</si>
  <si>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</si>
  <si>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</si>
  <si>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</si>
  <si>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</si>
  <si>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</si>
  <si>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</si>
  <si>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</si>
  <si>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</si>
  <si>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</si>
  <si>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</si>
  <si>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</si>
  <si>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</si>
  <si>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</si>
  <si>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</si>
  <si>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</si>
  <si>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</si>
  <si>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</si>
  <si>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</si>
  <si>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</si>
  <si>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</si>
  <si>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</si>
  <si>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</si>
  <si>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</si>
  <si>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</si>
  <si>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</si>
  <si>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</si>
  <si>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</si>
  <si>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</si>
  <si>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</si>
  <si>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</si>
  <si>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</si>
  <si>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</si>
  <si>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</si>
  <si>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</si>
  <si>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</si>
  <si>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</si>
  <si>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</si>
  <si>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</si>
  <si>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</si>
  <si>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</si>
  <si>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</si>
  <si>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</si>
  <si>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</si>
  <si>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</si>
  <si>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</si>
  <si>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</si>
  <si>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</si>
  <si>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</si>
  <si>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</si>
  <si>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</si>
  <si>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</si>
  <si>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</si>
  <si>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</si>
  <si>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</si>
  <si>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</si>
  <si>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</si>
  <si>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</si>
  <si>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</si>
  <si>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</si>
  <si>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</si>
  <si>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</si>
  <si>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</si>
  <si>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</si>
  <si>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</si>
  <si>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</si>
  <si>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</si>
  <si>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</si>
  <si>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</si>
  <si>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</si>
  <si>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</si>
  <si>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</si>
  <si>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</si>
  <si>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</si>
  <si>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</si>
  <si>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</si>
  <si>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</si>
  <si>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</si>
  <si>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</si>
  <si>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</si>
  <si>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</si>
  <si>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</si>
  <si>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</si>
  <si>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</si>
  <si>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</si>
  <si>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</si>
  <si>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</si>
  <si>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</si>
  <si>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</si>
  <si>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</si>
  <si>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</si>
  <si>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</si>
  <si>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</si>
  <si>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</si>
  <si>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</si>
  <si>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</si>
  <si>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</si>
  <si>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</si>
  <si>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</si>
  <si>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</si>
  <si>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</si>
  <si>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</si>
  <si>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</si>
  <si>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</si>
  <si>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</si>
  <si>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</si>
  <si>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</si>
  <si>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</si>
  <si>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</si>
  <si>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</si>
  <si>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</si>
  <si>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</si>
  <si>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</si>
  <si>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</si>
  <si>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</si>
  <si>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</si>
  <si>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</si>
  <si>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</si>
  <si>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</si>
  <si>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</si>
  <si>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</si>
  <si>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</si>
  <si>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</si>
  <si>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</si>
  <si>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</si>
  <si>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</si>
  <si>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</si>
  <si>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</si>
  <si>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</si>
  <si>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</si>
  <si>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</si>
  <si>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</si>
  <si>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</si>
  <si>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</si>
  <si>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</si>
  <si>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</si>
  <si>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</si>
  <si>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</si>
  <si>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</si>
  <si>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</si>
  <si>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</si>
  <si>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</si>
  <si>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</si>
  <si>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</si>
  <si>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</si>
  <si>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</si>
  <si>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</si>
  <si>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</si>
  <si>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</si>
  <si>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</si>
  <si>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</si>
  <si>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</si>
  <si>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</si>
  <si>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</si>
  <si>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</si>
  <si>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</si>
  <si>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</si>
  <si>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</si>
  <si>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</si>
  <si>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</si>
  <si>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</si>
  <si>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</si>
  <si>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</si>
  <si>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</si>
  <si>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</si>
  <si>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</si>
  <si>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</si>
  <si>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</si>
  <si>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</si>
  <si>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</si>
  <si>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</si>
  <si>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</si>
  <si>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</si>
  <si>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</si>
  <si>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</si>
  <si>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</si>
  <si>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</si>
  <si>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</si>
  <si>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</si>
  <si>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</si>
  <si>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</si>
  <si>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</si>
  <si>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</si>
  <si>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</si>
  <si>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</si>
  <si>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</si>
  <si>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</si>
  <si>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</si>
  <si>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</si>
  <si>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</si>
  <si>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</si>
  <si>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</si>
  <si>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</si>
  <si>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</si>
  <si>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</si>
  <si>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</si>
  <si>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</si>
  <si>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</si>
  <si>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</si>
  <si>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</si>
  <si>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</si>
  <si>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</si>
  <si>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</si>
  <si>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</si>
  <si>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</si>
  <si>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</si>
  <si>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</si>
  <si>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</si>
  <si>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</si>
  <si>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</si>
  <si>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</si>
  <si>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</si>
  <si>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</si>
  <si>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</si>
  <si>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</si>
  <si>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</si>
  <si>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</si>
  <si>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</si>
  <si>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</si>
  <si>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</si>
  <si>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</si>
  <si>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</si>
  <si>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</si>
  <si>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</si>
  <si>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</si>
  <si>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</si>
  <si>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</si>
  <si>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</si>
  <si>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</si>
  <si>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</si>
  <si>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</si>
  <si>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</si>
  <si>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</si>
  <si>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</si>
  <si>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</si>
  <si>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</si>
  <si>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</si>
  <si>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</si>
  <si>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</si>
  <si>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</si>
  <si>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</si>
  <si>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</si>
  <si>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</si>
  <si>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</si>
  <si>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</si>
  <si>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</si>
  <si>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</si>
  <si>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</si>
  <si>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</si>
  <si>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</si>
  <si>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</si>
  <si>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</si>
  <si>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</si>
  <si>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</si>
  <si>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</si>
  <si>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</si>
  <si>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</si>
  <si>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</si>
  <si>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</si>
  <si>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</si>
  <si>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</si>
  <si>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</si>
  <si>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</si>
  <si>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</si>
  <si>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</si>
  <si>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</si>
  <si>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</si>
  <si>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</si>
  <si>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</si>
  <si>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</si>
  <si>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</si>
  <si>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</si>
  <si>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</si>
  <si>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</si>
  <si>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</si>
  <si>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</si>
  <si>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</si>
  <si>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</si>
  <si>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</si>
  <si>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</si>
  <si>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</si>
  <si>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</si>
  <si>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</si>
  <si>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</si>
  <si>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</si>
  <si>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</si>
  <si>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</si>
  <si>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</si>
  <si>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</si>
  <si>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</si>
  <si>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</si>
  <si>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</si>
  <si>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</si>
  <si>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</si>
  <si>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</si>
  <si>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</si>
  <si>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</si>
  <si>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</si>
  <si>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</si>
  <si>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</si>
  <si>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</si>
  <si>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</si>
  <si>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</si>
  <si>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</si>
  <si>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</si>
  <si>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</si>
  <si>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</si>
  <si>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</si>
  <si>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</si>
  <si>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</si>
  <si>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</si>
  <si>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</si>
  <si>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</si>
  <si>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</si>
  <si>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</si>
  <si>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</si>
  <si>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</si>
  <si>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</si>
  <si>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</si>
  <si>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</si>
  <si>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</si>
  <si>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</si>
  <si>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</si>
  <si>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</si>
  <si>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</si>
  <si>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</si>
  <si>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</si>
  <si>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</si>
  <si>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</si>
  <si>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</si>
  <si>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</si>
  <si>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</si>
  <si>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</si>
  <si>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</si>
  <si>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</si>
  <si>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</si>
  <si>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</si>
  <si>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</si>
  <si>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</si>
  <si>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</si>
  <si>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</si>
  <si>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</si>
  <si>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</si>
  <si>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</si>
  <si>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</si>
  <si>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</si>
  <si>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</si>
  <si>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</si>
  <si>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</si>
  <si>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</si>
  <si>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</si>
  <si>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</si>
  <si>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</si>
  <si>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</si>
  <si>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</si>
  <si>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</si>
  <si>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</si>
  <si>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</si>
  <si>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</si>
  <si>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</si>
  <si>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</si>
  <si>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</si>
  <si>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</si>
  <si>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</si>
  <si>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</si>
  <si>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</si>
  <si>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</si>
  <si>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</si>
  <si>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</si>
  <si>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</si>
  <si>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</si>
  <si>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</si>
  <si>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</si>
  <si>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</si>
  <si>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</si>
  <si>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</si>
  <si>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</si>
  <si>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</si>
  <si>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</si>
  <si>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</si>
  <si>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</si>
  <si>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</si>
  <si>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</si>
  <si>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</si>
  <si>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</si>
  <si>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</si>
  <si>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</si>
  <si>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</si>
  <si>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</si>
  <si>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</si>
  <si>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</si>
  <si>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</si>
  <si>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</si>
  <si>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</si>
  <si>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</si>
  <si>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</si>
  <si>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</si>
  <si>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</si>
  <si>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</si>
  <si>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</si>
  <si>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</si>
  <si>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</si>
  <si>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</si>
  <si>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</si>
  <si>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</si>
  <si>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</si>
  <si>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</si>
  <si>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</si>
  <si>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</si>
  <si>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</si>
  <si>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</si>
  <si>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</si>
  <si>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</si>
  <si>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</si>
  <si>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</si>
  <si>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</si>
  <si>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</si>
  <si>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</si>
  <si>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</si>
  <si>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</si>
  <si>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</si>
  <si>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</si>
  <si>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</si>
  <si>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</si>
  <si>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</si>
  <si>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</si>
  <si>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</si>
  <si>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</si>
  <si>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</si>
  <si>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</si>
  <si>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</si>
  <si>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</si>
  <si>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</si>
  <si>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</si>
  <si>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</si>
  <si>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</si>
  <si>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</si>
  <si>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</si>
  <si>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</si>
  <si>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</si>
  <si>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</si>
  <si>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</si>
  <si>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</si>
  <si>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</si>
  <si>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</si>
  <si>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</si>
  <si>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</si>
  <si>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</si>
  <si>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</si>
  <si>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</si>
  <si>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</si>
  <si>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</si>
  <si>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</si>
  <si>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</si>
  <si>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</si>
  <si>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</si>
  <si>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</si>
  <si>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</si>
  <si>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</si>
  <si>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</si>
  <si>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</si>
  <si>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</si>
  <si>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</si>
  <si>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</si>
  <si>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</si>
  <si>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</si>
  <si>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</si>
  <si>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</si>
  <si>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</si>
  <si>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</si>
  <si>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</si>
  <si>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</si>
  <si>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</si>
  <si>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</si>
  <si>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</si>
  <si>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</si>
  <si>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</si>
  <si>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</si>
  <si>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</si>
  <si>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</si>
  <si>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</si>
  <si>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</si>
  <si>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</si>
  <si>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</si>
  <si>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</si>
  <si>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</si>
  <si>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</si>
  <si>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</si>
  <si>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</si>
  <si>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</si>
  <si>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</si>
  <si>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</si>
  <si>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</si>
  <si>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</si>
  <si>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</si>
  <si>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</si>
  <si>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</si>
  <si>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</si>
  <si>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</si>
  <si>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</si>
  <si>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</si>
  <si>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</si>
  <si>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</si>
  <si>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</si>
  <si>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</si>
  <si>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</si>
  <si>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</si>
  <si>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</si>
  <si>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</si>
  <si>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</si>
  <si>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</si>
  <si>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</si>
  <si>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</si>
  <si>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</si>
  <si>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</si>
  <si>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</si>
  <si>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</si>
  <si>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</si>
  <si>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</si>
  <si>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</si>
  <si>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</si>
  <si>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</si>
  <si>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</si>
  <si>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</si>
  <si>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</si>
  <si>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</si>
  <si>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</si>
  <si>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</si>
  <si>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</si>
  <si>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</si>
  <si>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</si>
  <si>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</si>
  <si>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</si>
  <si>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</si>
  <si>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</si>
  <si>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</si>
  <si>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</si>
  <si>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</si>
  <si>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</si>
  <si>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</si>
  <si>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</si>
  <si>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</si>
  <si>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</si>
  <si>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</si>
  <si>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</si>
  <si>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</si>
  <si>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</si>
  <si>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</si>
  <si>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</si>
  <si>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</si>
  <si>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</si>
  <si>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</si>
  <si>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</si>
  <si>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</si>
  <si>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</si>
  <si>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</si>
  <si>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</si>
  <si>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</si>
  <si>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</si>
  <si>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</si>
  <si>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</si>
  <si>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</si>
  <si>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</si>
  <si>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</si>
  <si>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</si>
  <si>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</si>
  <si>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</si>
  <si>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</si>
  <si>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</si>
  <si>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</si>
  <si>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</si>
  <si>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</si>
  <si>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</si>
  <si>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</si>
  <si>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</si>
  <si>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</si>
  <si>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</si>
  <si>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</si>
  <si>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</si>
  <si>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</si>
  <si>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</si>
  <si>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</si>
  <si>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</si>
  <si>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</si>
  <si>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</si>
  <si>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</si>
  <si>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</si>
  <si>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</si>
  <si>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</si>
  <si>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</si>
  <si>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</si>
  <si>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</si>
  <si>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</si>
  <si>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</si>
  <si>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</si>
  <si>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</si>
  <si>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</si>
  <si>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</si>
  <si>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</si>
  <si>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</si>
  <si>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</si>
  <si>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</si>
  <si>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</si>
  <si>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</si>
  <si>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</si>
  <si>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</si>
  <si>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</si>
  <si>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</si>
  <si>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</si>
  <si>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</si>
  <si>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</si>
  <si>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</si>
  <si>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</si>
  <si>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</si>
  <si>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</si>
  <si>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</si>
  <si>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</si>
  <si>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</si>
  <si>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</si>
  <si>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</si>
  <si>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</si>
  <si>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</si>
  <si>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</si>
  <si>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</si>
  <si>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</si>
  <si>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</si>
  <si>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</si>
  <si>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</si>
  <si>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</si>
  <si>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</si>
  <si>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</si>
  <si>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</si>
  <si>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</si>
  <si>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</si>
  <si>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</si>
  <si>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</si>
  <si>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</si>
  <si>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</si>
  <si>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</si>
  <si>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</si>
  <si>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</si>
  <si>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</si>
  <si>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</si>
  <si>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</si>
  <si>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</si>
  <si>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</si>
  <si>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</si>
  <si>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</si>
  <si>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</si>
  <si>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</si>
  <si>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</si>
  <si>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</si>
  <si>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</si>
  <si>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</si>
  <si>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</si>
  <si>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</si>
  <si>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</si>
  <si>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</si>
  <si>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</si>
  <si>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</si>
  <si>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</si>
  <si>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</si>
  <si>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</si>
  <si>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</si>
  <si>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</si>
  <si>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</si>
  <si>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</si>
  <si>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</si>
  <si>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</si>
  <si>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</si>
  <si>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</si>
  <si>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</si>
  <si>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</si>
  <si>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</si>
  <si>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</si>
  <si>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</si>
  <si>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</si>
  <si>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</si>
  <si>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</si>
  <si>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</si>
  <si>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</si>
  <si>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</si>
  <si>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</si>
  <si>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</si>
  <si>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</si>
  <si>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</si>
  <si>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</si>
  <si>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</si>
  <si>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</si>
  <si>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</si>
  <si>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</si>
  <si>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</si>
  <si>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</si>
  <si>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</si>
  <si>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</si>
  <si>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</si>
  <si>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</si>
  <si>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</si>
  <si>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</si>
  <si>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</si>
  <si>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</si>
  <si>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</si>
  <si>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</si>
  <si>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</si>
  <si>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</si>
  <si>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</si>
  <si>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</si>
  <si>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</si>
  <si>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</si>
  <si>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</si>
  <si>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</si>
  <si>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</si>
  <si>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</si>
  <si>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</si>
  <si>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</si>
  <si>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</si>
  <si>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</si>
  <si>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</si>
  <si>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</si>
  <si>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</si>
  <si>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</si>
  <si>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</si>
  <si>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</si>
  <si>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</si>
  <si>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</si>
  <si>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</si>
  <si>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</si>
  <si>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</si>
  <si>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</si>
  <si>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</si>
  <si>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</si>
  <si>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</si>
  <si>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</si>
  <si>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</si>
  <si>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</si>
  <si>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</si>
  <si>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</si>
  <si>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</si>
  <si>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</si>
  <si>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</si>
  <si>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</si>
  <si>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</si>
  <si>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</si>
  <si>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</si>
  <si>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</si>
  <si>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</si>
  <si>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</si>
  <si>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</si>
  <si>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</si>
  <si>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</si>
  <si>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</si>
  <si>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</si>
  <si>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</si>
  <si>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</si>
  <si>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</si>
  <si>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</si>
  <si>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</si>
  <si>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</si>
  <si>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</si>
  <si>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</si>
  <si>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</si>
  <si>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</si>
  <si>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</si>
  <si>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</si>
  <si>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</si>
  <si>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</si>
  <si>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</si>
  <si>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</si>
  <si>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</si>
  <si>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</si>
  <si>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</si>
  <si>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</si>
  <si>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</si>
  <si>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</si>
  <si>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</si>
  <si>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</si>
  <si>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</si>
  <si>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</si>
  <si>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</si>
  <si>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</si>
  <si>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</si>
  <si>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</si>
  <si>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</si>
  <si>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</si>
  <si>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</si>
  <si>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</si>
  <si>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</si>
  <si>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</si>
  <si>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</si>
  <si>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</si>
  <si>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</si>
  <si>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</si>
  <si>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</si>
  <si>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</si>
  <si>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</si>
  <si>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</si>
  <si>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</si>
  <si>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</si>
  <si>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</si>
  <si>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</si>
  <si>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</si>
  <si>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</si>
  <si>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</si>
  <si>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</si>
  <si>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</si>
  <si>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</si>
  <si>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</si>
  <si>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</si>
  <si>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</si>
  <si>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</si>
  <si>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</si>
  <si>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</si>
  <si>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</si>
  <si>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</si>
  <si>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</si>
  <si>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</si>
  <si>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</si>
  <si>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</si>
  <si>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</si>
  <si>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</si>
  <si>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</si>
  <si>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</si>
  <si>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</si>
  <si>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</si>
  <si>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</si>
  <si>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</si>
  <si>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</si>
  <si>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</si>
  <si>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</si>
  <si>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</si>
  <si>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</si>
  <si>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</si>
  <si>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</si>
  <si>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</si>
  <si>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</si>
  <si>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</si>
  <si>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</si>
  <si>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</si>
  <si>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</si>
  <si>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</si>
  <si>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</si>
  <si>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</si>
  <si>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</si>
  <si>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</si>
  <si>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</si>
  <si>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</si>
  <si>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</si>
  <si>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</si>
  <si>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</si>
  <si>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</si>
  <si>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</si>
  <si>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</si>
  <si>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</si>
  <si>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</si>
  <si>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</si>
  <si>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</si>
  <si>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</si>
  <si>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</si>
  <si>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</si>
  <si>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</si>
  <si>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</si>
  <si>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</si>
  <si>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</si>
  <si>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</si>
  <si>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</si>
  <si>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</si>
  <si>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</si>
  <si>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</si>
  <si>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</si>
  <si>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</si>
  <si>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</si>
  <si>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</si>
  <si>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</si>
  <si>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</si>
  <si>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</si>
  <si>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</si>
  <si>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</si>
  <si>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</si>
  <si>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</si>
  <si>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</si>
  <si>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</si>
  <si>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</si>
  <si>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</si>
  <si>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</si>
  <si>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</si>
  <si>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</si>
  <si>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</si>
  <si>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</si>
  <si>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</si>
  <si>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</si>
  <si>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</si>
  <si>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</si>
  <si>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</si>
  <si>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</si>
  <si>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</si>
  <si>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</si>
  <si>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</si>
  <si>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</si>
  <si>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</si>
  <si>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</si>
  <si>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</si>
  <si>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</si>
  <si>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</si>
  <si>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</si>
  <si>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</si>
  <si>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</si>
  <si>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</si>
  <si>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</si>
  <si>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</si>
  <si>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</si>
  <si>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</si>
  <si>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</si>
  <si>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</si>
  <si>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</si>
  <si>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</si>
  <si>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</si>
  <si>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</si>
  <si>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</si>
  <si>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</si>
  <si>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</si>
  <si>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</si>
  <si>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</si>
  <si>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</si>
  <si>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</si>
  <si>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</si>
  <si>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</si>
  <si>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</si>
  <si>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</si>
  <si>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</si>
  <si>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</si>
  <si>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</si>
  <si>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</si>
  <si>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</si>
  <si>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</si>
  <si>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</si>
  <si>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</si>
  <si>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</si>
  <si>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</si>
  <si>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</si>
  <si>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</si>
  <si>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</si>
  <si>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</si>
  <si>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</si>
  <si>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</si>
  <si>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</si>
  <si>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</si>
  <si>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</si>
  <si>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</si>
  <si>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</si>
  <si>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</si>
  <si>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</si>
  <si>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</si>
  <si>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</si>
  <si>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</si>
  <si>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</si>
  <si>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</si>
  <si>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</si>
  <si>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</si>
  <si>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</si>
  <si>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</si>
  <si>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</si>
  <si>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</si>
  <si>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</si>
  <si>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</si>
  <si>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</si>
  <si>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</si>
  <si>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</si>
  <si>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</si>
  <si>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</si>
  <si>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</si>
  <si>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</si>
  <si>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</si>
  <si>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</si>
  <si>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</si>
  <si>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</si>
  <si>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</si>
  <si>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</si>
  <si>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</si>
  <si>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</si>
  <si>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</si>
  <si>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</si>
  <si>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</si>
  <si>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</si>
  <si>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</si>
  <si>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</si>
  <si>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</si>
  <si>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</si>
  <si>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</si>
  <si>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</si>
  <si>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</si>
  <si>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</si>
  <si>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</si>
  <si>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</si>
  <si>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</si>
  <si>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</si>
  <si>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</si>
  <si>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</si>
  <si>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</si>
  <si>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</si>
  <si>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</si>
  <si>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</si>
  <si>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</si>
  <si>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</si>
  <si>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</si>
  <si>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</si>
  <si>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</si>
  <si>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</si>
  <si>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</si>
  <si>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</si>
  <si>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</si>
  <si>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</si>
  <si>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</si>
  <si>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</si>
  <si>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</si>
  <si>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</si>
  <si>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</si>
  <si>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</si>
  <si>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</si>
  <si>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</si>
  <si>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</si>
  <si>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</si>
  <si>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</si>
  <si>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</si>
  <si>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</si>
  <si>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</si>
  <si>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</si>
  <si>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</si>
  <si>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</si>
  <si>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</si>
  <si>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</si>
  <si>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</si>
  <si>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</si>
  <si>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</si>
  <si>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</si>
  <si>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</si>
  <si>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</si>
  <si>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</si>
  <si>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</si>
  <si>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</si>
  <si>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</si>
  <si>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</si>
  <si>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</si>
  <si>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</si>
  <si>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</si>
  <si>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</si>
  <si>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</si>
  <si>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</si>
  <si>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</si>
  <si>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</si>
  <si>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</si>
  <si>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</si>
  <si>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</si>
  <si>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</si>
  <si>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</si>
  <si>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</si>
  <si>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</si>
  <si>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</si>
  <si>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</si>
  <si>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</si>
  <si>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</si>
  <si>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</si>
  <si>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</si>
  <si>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</si>
  <si>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</si>
  <si>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</si>
  <si>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</si>
  <si>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</si>
  <si>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</si>
  <si>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</si>
  <si>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</si>
  <si>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</si>
  <si>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</si>
  <si>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</si>
  <si>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</si>
  <si>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</si>
  <si>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</si>
  <si>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</si>
  <si>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</si>
  <si>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</si>
  <si>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</si>
  <si>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</si>
  <si>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</si>
  <si>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</si>
  <si>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</si>
  <si>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</si>
  <si>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</si>
  <si>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</si>
  <si>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</si>
  <si>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</si>
  <si>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</si>
  <si>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</si>
  <si>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</si>
  <si>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</si>
  <si>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</si>
  <si>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</si>
  <si>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</si>
  <si>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</si>
  <si>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</si>
  <si>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</si>
  <si>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</si>
  <si>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</si>
  <si>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</si>
  <si>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</si>
  <si>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</si>
  <si>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</si>
  <si>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</si>
  <si>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</si>
  <si>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</si>
  <si>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</si>
  <si>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</si>
  <si>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</si>
  <si>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</si>
  <si>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</si>
  <si>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</si>
  <si>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</si>
  <si>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</si>
  <si>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</si>
  <si>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</si>
  <si>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</si>
  <si>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</si>
  <si>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</si>
  <si>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</si>
  <si>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</si>
  <si>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</si>
  <si>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</si>
  <si>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</si>
  <si>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</si>
  <si>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</si>
  <si>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</si>
  <si>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</si>
  <si>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</si>
  <si>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</si>
  <si>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</si>
  <si>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</si>
  <si>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</si>
  <si>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</si>
  <si>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</si>
  <si>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</si>
  <si>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</si>
  <si>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</si>
  <si>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</si>
  <si>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</si>
  <si>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</si>
  <si>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</si>
  <si>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</si>
  <si>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</si>
  <si>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</si>
  <si>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</si>
  <si>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</si>
  <si>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</si>
  <si>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</si>
  <si>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</si>
  <si>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</si>
  <si>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</si>
  <si>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</si>
  <si>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</si>
  <si>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</si>
  <si>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</si>
  <si>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</si>
  <si>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</si>
  <si>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</si>
  <si>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</si>
  <si>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</si>
  <si>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</si>
  <si>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</si>
  <si>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</si>
  <si>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</si>
  <si>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</si>
  <si>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</si>
  <si>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</si>
  <si>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</si>
  <si>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</si>
  <si>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</si>
  <si>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</si>
  <si>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</si>
  <si>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</si>
  <si>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</si>
  <si>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</si>
  <si>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</si>
  <si>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</si>
  <si>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</si>
  <si>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</si>
  <si>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</si>
  <si>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</si>
  <si>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</si>
  <si>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</si>
  <si>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</si>
  <si>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</si>
  <si>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</si>
  <si>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</si>
  <si>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</si>
  <si>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</si>
  <si>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</si>
  <si>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</si>
  <si>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</si>
  <si>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</si>
  <si>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</si>
  <si>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</si>
  <si>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</si>
  <si>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</si>
  <si>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</si>
  <si>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</si>
  <si>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</si>
  <si>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</si>
  <si>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</si>
  <si>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</si>
  <si>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</si>
  <si>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</si>
  <si>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</si>
  <si>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</si>
  <si>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</si>
  <si>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</si>
  <si>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</si>
  <si>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</si>
  <si>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</si>
  <si>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</si>
  <si>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</si>
  <si>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</si>
  <si>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</si>
  <si>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</si>
  <si>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</si>
  <si>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</si>
  <si>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</si>
  <si>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</si>
  <si>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</si>
  <si>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</si>
  <si>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</si>
  <si>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</si>
  <si>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</si>
  <si>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</si>
  <si>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</si>
  <si>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</si>
  <si>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</si>
  <si>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</si>
  <si>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</si>
  <si>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</si>
  <si>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</si>
  <si>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</si>
  <si>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</si>
  <si>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</si>
  <si>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</si>
  <si>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</si>
  <si>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</si>
  <si>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</si>
  <si>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</si>
  <si>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</si>
  <si>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</si>
  <si>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</si>
  <si>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</si>
  <si>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</si>
  <si>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</si>
  <si>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</si>
  <si>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</si>
  <si>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</si>
  <si>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</si>
  <si>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</si>
  <si>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</si>
  <si>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</si>
  <si>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</si>
  <si>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</si>
  <si>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</si>
  <si>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</si>
  <si>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</si>
  <si>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</si>
  <si>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</si>
  <si>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</si>
  <si>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</si>
  <si>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</si>
  <si>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</si>
  <si>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</si>
  <si>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</si>
  <si>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</si>
  <si>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</si>
  <si>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</si>
  <si>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</si>
  <si>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</si>
  <si>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</si>
  <si>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</si>
  <si>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</si>
  <si>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</si>
  <si>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</si>
  <si>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</si>
  <si>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</si>
  <si>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</si>
  <si>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</si>
  <si>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</si>
  <si>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</si>
  <si>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</si>
  <si>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</si>
  <si>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</si>
  <si>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</si>
  <si>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</si>
  <si>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</si>
  <si>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</si>
  <si>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</si>
  <si>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</si>
  <si>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</si>
  <si>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</si>
  <si>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</si>
  <si>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</si>
  <si>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</si>
  <si>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</si>
  <si>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</si>
  <si>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</si>
  <si>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</si>
  <si>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</si>
  <si>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</si>
  <si>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</si>
  <si>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</si>
  <si>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</si>
  <si>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</si>
  <si>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</si>
  <si>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</si>
  <si>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</si>
  <si>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</si>
  <si>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</si>
  <si>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</si>
  <si>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</si>
  <si>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</si>
  <si>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</si>
  <si>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</si>
  <si>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</si>
  <si>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</si>
  <si>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</si>
  <si>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</si>
  <si>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</si>
  <si>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</si>
  <si>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</si>
  <si>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</si>
  <si>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</si>
  <si>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</si>
  <si>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</si>
  <si>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</si>
  <si>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</si>
  <si>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</si>
  <si>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</si>
  <si>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</si>
  <si>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</si>
  <si>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</si>
  <si>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</si>
  <si>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</si>
  <si>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</si>
  <si>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</si>
  <si>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</si>
  <si>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</si>
  <si>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</si>
  <si>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</si>
  <si>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</si>
  <si>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</si>
  <si>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</si>
  <si>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</si>
  <si>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</si>
  <si>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</si>
  <si>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</si>
  <si>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</si>
  <si>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</si>
  <si>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</si>
  <si>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</si>
  <si>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</si>
  <si>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</si>
  <si>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</si>
  <si>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</si>
  <si>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</si>
  <si>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</si>
  <si>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</si>
  <si>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</si>
  <si>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</si>
  <si>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</si>
  <si>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</si>
  <si>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</si>
  <si>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</si>
  <si>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</si>
  <si>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</si>
  <si>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</si>
  <si>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</si>
  <si>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</si>
  <si>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</si>
  <si>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</si>
  <si>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</si>
  <si>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</si>
  <si>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</si>
  <si>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</si>
  <si>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</si>
  <si>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</si>
  <si>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</si>
  <si>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</si>
  <si>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</si>
  <si>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</si>
  <si>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</si>
  <si>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</si>
  <si>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</si>
  <si>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</si>
  <si>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</si>
  <si>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</si>
  <si>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</si>
  <si>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</si>
  <si>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</si>
  <si>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</si>
  <si>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</si>
  <si>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</si>
  <si>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</si>
  <si>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</si>
  <si>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</si>
  <si>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</si>
  <si>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</si>
  <si>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</si>
  <si>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</si>
  <si>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</si>
  <si>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</si>
  <si>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</si>
  <si>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</si>
  <si>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</si>
  <si>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</si>
  <si>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</si>
  <si>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</si>
  <si>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</si>
  <si>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</si>
  <si>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</si>
  <si>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</si>
  <si>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</si>
  <si>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</si>
  <si>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</si>
  <si>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</si>
  <si>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</si>
  <si>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</si>
  <si>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</si>
  <si>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</si>
  <si>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</si>
  <si>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</si>
  <si>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</si>
  <si>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</si>
  <si>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</si>
  <si>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</si>
  <si>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</si>
  <si>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</si>
  <si>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</si>
  <si>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</si>
  <si>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</si>
  <si>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</si>
  <si>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</si>
  <si>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</si>
  <si>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</si>
  <si>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</si>
  <si>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</si>
  <si>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</si>
  <si>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</si>
  <si>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</si>
  <si>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</si>
  <si>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</si>
  <si>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</si>
  <si>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</si>
  <si>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</si>
  <si>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</si>
  <si>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</si>
  <si>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</si>
  <si>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</si>
  <si>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</si>
  <si>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</si>
  <si>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</si>
  <si>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</si>
  <si>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</si>
  <si>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</si>
  <si>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</si>
  <si>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</si>
  <si>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</si>
  <si>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</si>
  <si>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</si>
  <si>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</si>
  <si>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</si>
  <si>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</si>
  <si>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</si>
  <si>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</si>
  <si>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</si>
  <si>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</si>
  <si>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</si>
  <si>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</si>
  <si>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</si>
  <si>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</si>
  <si>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</si>
  <si>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</si>
  <si>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</si>
  <si>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</si>
  <si>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</si>
  <si>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</si>
  <si>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</si>
  <si>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</si>
  <si>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</si>
  <si>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</si>
  <si>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</si>
  <si>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</si>
  <si>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</si>
  <si>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</si>
  <si>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</si>
  <si>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</si>
  <si>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</si>
  <si>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</si>
  <si>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</si>
  <si>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</si>
  <si>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</si>
  <si>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</si>
  <si>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</si>
  <si>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</si>
  <si>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</si>
  <si>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</si>
  <si>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</si>
  <si>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</si>
  <si>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</si>
  <si>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</si>
  <si>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</si>
  <si>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</si>
  <si>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</si>
  <si>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</si>
  <si>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</si>
  <si>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</si>
  <si>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</si>
  <si>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</si>
  <si>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</si>
  <si>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</si>
  <si>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</si>
  <si>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</si>
  <si>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</si>
  <si>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</si>
  <si>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</si>
  <si>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</si>
  <si>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</si>
  <si>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</si>
  <si>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</si>
  <si>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</si>
  <si>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</si>
  <si>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</si>
  <si>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</si>
  <si>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</si>
  <si>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</si>
  <si>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</si>
  <si>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</si>
  <si>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</si>
  <si>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</si>
  <si>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</si>
  <si>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</si>
  <si>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</si>
  <si>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</si>
  <si>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</si>
  <si>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</si>
  <si>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</si>
  <si>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</si>
  <si>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</si>
  <si>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</si>
  <si>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</si>
  <si>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</si>
  <si>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</si>
  <si>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</si>
  <si>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</si>
  <si>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</si>
  <si>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</si>
  <si>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</si>
  <si>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</si>
  <si>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</si>
  <si>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</si>
  <si>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</si>
  <si>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</si>
  <si>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</si>
  <si>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</si>
  <si>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</si>
  <si>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</si>
  <si>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</si>
  <si>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</si>
  <si>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</si>
  <si>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</si>
  <si>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</si>
  <si>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</si>
  <si>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</si>
  <si>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</si>
  <si>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</si>
  <si>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</si>
  <si>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</si>
  <si>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</si>
  <si>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</si>
  <si>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</si>
  <si>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</si>
  <si>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</si>
  <si>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</si>
  <si>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</si>
  <si>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</si>
  <si>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</si>
  <si>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</si>
  <si>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</si>
  <si>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</si>
  <si>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</si>
  <si>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</si>
  <si>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</si>
  <si>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</si>
  <si>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</si>
  <si>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</si>
  <si>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</si>
  <si>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</si>
  <si>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</si>
  <si>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</si>
  <si>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</si>
  <si>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</si>
  <si>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</si>
  <si>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</si>
  <si>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</si>
  <si>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</si>
  <si>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</si>
  <si>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</si>
  <si>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</si>
  <si>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</si>
  <si>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</si>
  <si>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</si>
  <si>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</si>
  <si>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</si>
  <si>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</si>
  <si>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</si>
  <si>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</si>
  <si>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</si>
  <si>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</si>
  <si>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</si>
  <si>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</si>
  <si>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</si>
  <si>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</si>
  <si>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</si>
  <si>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</si>
  <si>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</si>
  <si>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</si>
  <si>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</si>
  <si>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</si>
  <si>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</si>
  <si>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</si>
  <si>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</si>
  <si>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</si>
  <si>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</si>
  <si>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</si>
  <si>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</si>
  <si>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</si>
  <si>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</si>
  <si>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</si>
  <si>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</si>
  <si>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</si>
  <si>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</si>
  <si>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</si>
  <si>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</si>
  <si>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</si>
  <si>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</si>
  <si>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</si>
  <si>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</si>
  <si>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</si>
  <si>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</si>
  <si>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</si>
  <si>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</si>
  <si>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</si>
  <si>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</si>
  <si>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</si>
  <si>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</si>
  <si>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</si>
  <si>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</si>
  <si>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</si>
  <si>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</si>
  <si>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</si>
  <si>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</si>
  <si>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</si>
  <si>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</si>
  <si>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</si>
  <si>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</si>
  <si>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</si>
  <si>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</si>
  <si>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</si>
  <si>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</si>
  <si>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</si>
  <si>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</si>
  <si>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</si>
  <si>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</si>
  <si>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</si>
  <si>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</si>
  <si>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</si>
  <si>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</si>
  <si>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</si>
  <si>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</si>
  <si>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</si>
  <si>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</si>
  <si>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</si>
  <si>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</si>
  <si>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</si>
  <si>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</si>
  <si>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</si>
  <si>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</si>
  <si>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</si>
  <si>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</si>
  <si>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</si>
  <si>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</si>
  <si>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</si>
  <si>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</si>
  <si>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</si>
  <si>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</si>
  <si>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</si>
  <si>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</si>
  <si>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</si>
  <si>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</si>
  <si>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</si>
  <si>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</si>
  <si>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</si>
  <si>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</si>
  <si>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</si>
  <si>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</si>
  <si>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</si>
  <si>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</si>
  <si>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</si>
  <si>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</si>
  <si>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</si>
  <si>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</si>
  <si>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</si>
  <si>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</si>
  <si>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</si>
  <si>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</si>
  <si>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</si>
  <si>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</si>
  <si>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</si>
  <si>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</si>
  <si>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</si>
  <si>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</si>
  <si>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</si>
  <si>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</si>
  <si>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</si>
  <si>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</si>
  <si>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</si>
  <si>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</si>
  <si>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</si>
  <si>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</si>
  <si>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</si>
  <si>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</si>
  <si>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</si>
  <si>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</si>
  <si>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</si>
  <si>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</si>
  <si>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</si>
  <si>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</si>
  <si>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</si>
  <si>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</si>
  <si>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</si>
  <si>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</si>
  <si>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</si>
  <si>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</si>
  <si>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</si>
  <si>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</si>
  <si>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</si>
  <si>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</si>
  <si>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</si>
  <si>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</si>
  <si>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</si>
  <si>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</si>
  <si>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</si>
  <si>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</si>
  <si>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</si>
  <si>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</si>
  <si>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</si>
  <si>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</si>
  <si>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</si>
  <si>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</si>
  <si>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</si>
  <si>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</si>
  <si>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</si>
  <si>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</si>
  <si>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</si>
  <si>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</si>
  <si>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</si>
  <si>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</si>
  <si>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</si>
  <si>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</si>
  <si>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</si>
  <si>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</si>
  <si>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</si>
  <si>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</si>
  <si>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</si>
  <si>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</si>
  <si>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</si>
  <si>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</si>
  <si>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</si>
  <si>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</si>
  <si>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</si>
  <si>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</si>
  <si>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</si>
  <si>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</si>
  <si>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</si>
  <si>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</si>
  <si>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</si>
  <si>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</si>
  <si>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</si>
  <si>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</si>
  <si>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</si>
  <si>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</si>
  <si>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</si>
  <si>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</si>
  <si>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</si>
  <si>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</si>
  <si>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</si>
  <si>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</si>
  <si>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</si>
  <si>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</si>
  <si>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</si>
  <si>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</si>
  <si>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</si>
  <si>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</si>
  <si>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</si>
  <si>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</si>
  <si>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</si>
  <si>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</si>
  <si>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</si>
  <si>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</si>
  <si>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</si>
  <si>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</si>
  <si>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</si>
  <si>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</si>
  <si>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</si>
  <si>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</si>
  <si>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</si>
  <si>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</si>
  <si>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</si>
  <si>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</si>
  <si>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</si>
  <si>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</si>
  <si>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</si>
  <si>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</si>
  <si>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</si>
  <si>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</si>
  <si>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</si>
  <si>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</si>
  <si>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</si>
  <si>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</si>
  <si>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</si>
  <si>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</si>
  <si>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</si>
  <si>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</si>
  <si>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</si>
  <si>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</si>
  <si>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</si>
  <si>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</si>
  <si>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</si>
  <si>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</si>
  <si>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</si>
  <si>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</si>
  <si>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</si>
  <si>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</si>
  <si>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</si>
  <si>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</si>
  <si>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</si>
  <si>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</si>
  <si>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</si>
  <si>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</si>
  <si>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</si>
  <si>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</si>
  <si>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</si>
  <si>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</si>
  <si>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</si>
  <si>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</si>
  <si>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</si>
  <si>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</si>
  <si>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</si>
  <si>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</si>
  <si>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</si>
  <si>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</si>
  <si>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</si>
  <si>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</si>
  <si>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</si>
  <si>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</si>
  <si>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</si>
  <si>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</si>
  <si>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</si>
  <si>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</si>
  <si>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</si>
  <si>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</si>
  <si>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</si>
  <si>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</si>
  <si>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</si>
  <si>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</si>
  <si>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</si>
  <si>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</si>
  <si>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</si>
  <si>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</si>
  <si>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</si>
  <si>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</si>
  <si>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</si>
  <si>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</si>
  <si>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</si>
  <si>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</si>
  <si>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</si>
  <si>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</si>
  <si>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</si>
  <si>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</si>
  <si>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</si>
  <si>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</si>
  <si>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</si>
  <si>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</si>
  <si>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</si>
  <si>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</si>
  <si>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</si>
  <si>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</si>
  <si>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</si>
  <si>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</si>
  <si>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</si>
  <si>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</si>
  <si>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</si>
  <si>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</si>
  <si>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</si>
  <si>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</si>
  <si>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</si>
  <si>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</si>
  <si>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</si>
  <si>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</si>
  <si>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</si>
  <si>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</si>
  <si>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</si>
  <si>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</si>
  <si>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</si>
  <si>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</si>
  <si>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</si>
  <si>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</si>
  <si>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</si>
  <si>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</si>
  <si>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</si>
  <si>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</si>
  <si>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</si>
  <si>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</si>
  <si>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</si>
  <si>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</si>
  <si>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</si>
  <si>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</si>
  <si>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</si>
  <si>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</si>
  <si>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</si>
  <si>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</si>
  <si>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</si>
  <si>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</si>
  <si>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</si>
  <si>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</si>
  <si>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</si>
  <si>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</si>
  <si>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</si>
  <si>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</si>
  <si>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</si>
  <si>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</si>
  <si>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</si>
  <si>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</si>
  <si>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</si>
  <si>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</si>
  <si>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</si>
  <si>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</si>
  <si>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</si>
  <si>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</si>
  <si>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</si>
  <si>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</si>
  <si>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</si>
  <si>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</si>
  <si>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</si>
  <si>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</si>
  <si>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</si>
  <si>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</si>
  <si>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</si>
  <si>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</si>
  <si>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</si>
  <si>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</si>
  <si>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</si>
  <si>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</si>
  <si>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</si>
  <si>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</si>
  <si>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</si>
  <si>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</si>
  <si>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</si>
  <si>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</si>
  <si>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</si>
  <si>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</si>
  <si>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</si>
  <si>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</si>
  <si>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</si>
  <si>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</si>
  <si>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</si>
  <si>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</si>
  <si>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</si>
  <si>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</si>
  <si>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</si>
  <si>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</si>
  <si>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</si>
  <si>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</si>
  <si>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</si>
  <si>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</si>
  <si>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</si>
  <si>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</si>
  <si>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</si>
  <si>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</si>
  <si>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</si>
  <si>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</si>
  <si>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</si>
  <si>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</si>
  <si>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</si>
  <si>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</si>
  <si>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</si>
  <si>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</si>
  <si>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</si>
  <si>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</si>
  <si>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</si>
  <si>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</si>
  <si>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</si>
  <si>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</si>
  <si>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</si>
  <si>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</si>
  <si>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</si>
  <si>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</si>
  <si>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</si>
  <si>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</si>
  <si>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</si>
  <si>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</si>
  <si>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</si>
  <si>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</si>
  <si>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</si>
  <si>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</si>
  <si>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</si>
  <si>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</si>
  <si>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</si>
  <si>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</si>
  <si>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</si>
  <si>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</si>
  <si>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</si>
  <si>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</si>
  <si>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</si>
  <si>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</si>
  <si>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</si>
  <si>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</si>
  <si>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</si>
  <si>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</si>
  <si>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</si>
  <si>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</si>
  <si>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</si>
  <si>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</si>
  <si>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</si>
  <si>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</si>
  <si>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</si>
  <si>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</si>
  <si>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</si>
  <si>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</si>
  <si>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</si>
  <si>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</si>
  <si>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</si>
  <si>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</si>
  <si>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</si>
  <si>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</si>
  <si>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</si>
  <si>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</si>
  <si>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</si>
  <si>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</si>
  <si>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</si>
  <si>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</si>
  <si>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</si>
  <si>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</si>
  <si>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</si>
  <si>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</si>
  <si>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</si>
  <si>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</si>
  <si>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</si>
  <si>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</si>
  <si>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</si>
  <si>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</si>
  <si>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</si>
  <si>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</si>
  <si>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</si>
  <si>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</si>
  <si>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</si>
  <si>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</si>
  <si>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</si>
  <si>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</si>
  <si>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</si>
  <si>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</si>
  <si>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</si>
  <si>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</si>
  <si>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</si>
  <si>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</si>
  <si>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</si>
  <si>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</si>
  <si>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</si>
  <si>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</si>
  <si>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</si>
  <si>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</si>
  <si>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</si>
  <si>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</si>
  <si>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</si>
  <si>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</si>
  <si>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</si>
  <si>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</si>
  <si>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</si>
  <si>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</si>
  <si>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</si>
  <si>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</si>
  <si>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</si>
  <si>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</si>
  <si>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</si>
  <si>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</si>
  <si>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</si>
  <si>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</si>
  <si>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</si>
  <si>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</si>
  <si>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</si>
  <si>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</si>
  <si>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</si>
  <si>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</si>
  <si>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</si>
  <si>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</si>
  <si>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</si>
  <si>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</si>
  <si>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</si>
  <si>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</si>
  <si>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</si>
  <si>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</si>
  <si>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</si>
  <si>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</si>
  <si>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</si>
  <si>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</si>
  <si>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</si>
  <si>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</si>
  <si>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</si>
  <si>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</si>
  <si>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</si>
  <si>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</si>
  <si>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</si>
  <si>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</si>
  <si>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</si>
  <si>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</si>
  <si>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</si>
  <si>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</si>
  <si>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</si>
  <si>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</si>
  <si>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</si>
  <si>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</si>
  <si>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</si>
  <si>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</si>
  <si>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</si>
  <si>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</si>
  <si>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</si>
  <si>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</si>
  <si>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</si>
  <si>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</si>
  <si>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</si>
  <si>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</si>
  <si>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</si>
  <si>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</si>
  <si>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</si>
  <si>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</si>
  <si>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</si>
  <si>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</si>
  <si>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</si>
  <si>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</si>
  <si>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</si>
  <si>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</si>
  <si>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</si>
  <si>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</si>
  <si>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</si>
  <si>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</si>
  <si>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</si>
  <si>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</si>
  <si>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</si>
  <si>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</si>
  <si>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</si>
  <si>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</si>
  <si>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</si>
  <si>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</si>
  <si>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</si>
  <si>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</si>
  <si>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</si>
  <si>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</si>
  <si>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</si>
  <si>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</si>
  <si>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</si>
  <si>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</si>
  <si>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</si>
  <si>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</si>
  <si>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</si>
  <si>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</si>
  <si>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</si>
  <si>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</si>
  <si>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</si>
  <si>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</si>
  <si>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</si>
  <si>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</si>
  <si>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</si>
  <si>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</si>
  <si>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</si>
  <si>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</si>
  <si>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</si>
  <si>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</si>
  <si>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</si>
  <si>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</si>
  <si>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</si>
  <si>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</si>
  <si>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</si>
  <si>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</si>
  <si>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</si>
  <si>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</si>
  <si>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</si>
  <si>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</si>
  <si>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</si>
  <si>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</si>
  <si>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</si>
  <si>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</si>
  <si>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</si>
  <si>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</si>
  <si>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</si>
  <si>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</si>
  <si>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</si>
  <si>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</si>
  <si>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</si>
  <si>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</si>
  <si>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</si>
  <si>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</si>
  <si>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</si>
  <si>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</si>
  <si>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</si>
  <si>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</si>
  <si>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</si>
  <si>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</si>
  <si>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</si>
  <si>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</si>
  <si>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</si>
  <si>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</si>
  <si>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</si>
  <si>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</si>
  <si>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</si>
  <si>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</si>
  <si>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</si>
  <si>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</si>
  <si>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</si>
  <si>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</si>
  <si>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</si>
  <si>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</si>
  <si>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</si>
  <si>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</si>
  <si>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</si>
  <si>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</si>
  <si>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</si>
  <si>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</si>
  <si>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</si>
  <si>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</si>
  <si>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</si>
  <si>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</si>
  <si>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</si>
  <si>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</si>
  <si>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</si>
  <si>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</si>
  <si>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</si>
  <si>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</si>
  <si>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</si>
  <si>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</si>
  <si>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</si>
  <si>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</si>
  <si>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</si>
  <si>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</si>
  <si>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</si>
  <si>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</si>
  <si>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</si>
  <si>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</si>
  <si>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</si>
  <si>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</si>
  <si>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</si>
  <si>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</si>
  <si>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</si>
  <si>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</si>
  <si>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</si>
  <si>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</si>
  <si>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</si>
  <si>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</si>
  <si>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</si>
  <si>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</si>
  <si>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</si>
  <si>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</si>
  <si>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</si>
  <si>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</si>
  <si>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</si>
  <si>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</si>
  <si>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</si>
  <si>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</si>
  <si>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</si>
  <si>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</si>
  <si>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</si>
  <si>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</si>
  <si>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</si>
  <si>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</si>
  <si>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</si>
  <si>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</si>
  <si>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</si>
  <si>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</si>
  <si>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</si>
  <si>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</si>
  <si>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</si>
  <si>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</si>
  <si>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</si>
  <si>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</si>
  <si>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</si>
  <si>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</si>
  <si>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</si>
  <si>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</si>
  <si>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</si>
  <si>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</si>
  <si>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</si>
  <si>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</si>
  <si>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</si>
  <si>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</si>
  <si>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</si>
  <si>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</si>
  <si>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</si>
  <si>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</si>
  <si>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</si>
  <si>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</si>
  <si>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</si>
  <si>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</si>
  <si>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</si>
  <si>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</si>
  <si>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</si>
  <si>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</si>
  <si>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</si>
  <si>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</si>
  <si>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</si>
  <si>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</si>
  <si>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</si>
  <si>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</si>
  <si>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</si>
  <si>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</si>
  <si>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</si>
  <si>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</si>
  <si>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</si>
  <si>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</si>
  <si>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</si>
  <si>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</si>
  <si>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</si>
  <si>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</si>
  <si>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</si>
  <si>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</si>
  <si>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</si>
  <si>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</si>
  <si>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</si>
  <si>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</si>
  <si>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</si>
  <si>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</si>
  <si>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</si>
  <si>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</si>
  <si>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</si>
  <si>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</si>
  <si>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</si>
  <si>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</si>
  <si>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</si>
  <si>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</si>
  <si>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</si>
  <si>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</si>
  <si>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</si>
  <si>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</si>
  <si>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</si>
  <si>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</si>
  <si>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</si>
  <si>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</si>
  <si>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</si>
  <si>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</si>
  <si>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</si>
  <si>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</si>
  <si>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</si>
  <si>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</si>
  <si>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</si>
  <si>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</si>
  <si>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</si>
  <si>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</si>
  <si>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</si>
  <si>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</si>
  <si>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</si>
  <si>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</si>
  <si>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</si>
  <si>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</si>
  <si>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</si>
  <si>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</si>
  <si>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</si>
  <si>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</si>
  <si>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</si>
  <si>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</si>
  <si>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</si>
  <si>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</si>
  <si>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</si>
  <si>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</si>
  <si>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</si>
  <si>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</si>
  <si>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</si>
  <si>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</si>
  <si>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</si>
  <si>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</si>
  <si>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</si>
  <si>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</si>
  <si>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</si>
  <si>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</si>
  <si>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</si>
  <si>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</si>
  <si>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</si>
  <si>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</si>
  <si>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</si>
  <si>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</si>
  <si>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</si>
  <si>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</si>
  <si>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</si>
  <si>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</si>
  <si>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</si>
  <si>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</si>
  <si>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</si>
  <si>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</si>
  <si>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</si>
  <si>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</si>
  <si>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</si>
  <si>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</si>
  <si>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</si>
  <si>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</si>
  <si>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</si>
  <si>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</si>
  <si>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</si>
  <si>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</si>
  <si>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</si>
  <si>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</si>
  <si>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</si>
  <si>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</si>
  <si>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</si>
  <si>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</si>
  <si>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</si>
  <si>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</si>
  <si>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</si>
  <si>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</si>
  <si>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</si>
  <si>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</si>
  <si>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</si>
  <si>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</si>
  <si>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</si>
  <si>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</si>
  <si>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</si>
  <si>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</si>
  <si>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</si>
  <si>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</si>
  <si>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</si>
  <si>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</si>
  <si>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</si>
  <si>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</si>
  <si>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</si>
  <si>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</si>
  <si>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</si>
  <si>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</si>
  <si>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</si>
  <si>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</si>
  <si>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</si>
  <si>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</si>
  <si>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</si>
  <si>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</si>
  <si>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</si>
  <si>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</si>
  <si>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</si>
  <si>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</si>
  <si>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</si>
  <si>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</si>
  <si>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</si>
  <si>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</si>
  <si>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</si>
  <si>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</si>
  <si>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</si>
  <si>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</si>
  <si>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</si>
  <si>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</si>
  <si>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</si>
  <si>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</si>
  <si>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</si>
  <si>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</si>
  <si>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</si>
  <si>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</si>
  <si>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</si>
  <si>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</si>
  <si>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</si>
  <si>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</si>
  <si>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</si>
  <si>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</si>
  <si>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</si>
  <si>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</si>
  <si>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</si>
  <si>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</si>
  <si>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</si>
  <si>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</si>
  <si>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</si>
  <si>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</si>
  <si>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</si>
  <si>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</si>
  <si>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</si>
  <si>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</si>
  <si>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</si>
  <si>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</si>
  <si>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</si>
  <si>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</si>
  <si>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</si>
  <si>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</si>
  <si>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</si>
  <si>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</si>
  <si>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</si>
  <si>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</si>
  <si>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</si>
  <si>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</si>
  <si>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</si>
  <si>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</si>
  <si>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</si>
  <si>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</si>
  <si>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</si>
  <si>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</si>
  <si>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</si>
  <si>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</si>
  <si>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</si>
  <si>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</si>
  <si>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</si>
  <si>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</si>
  <si>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</si>
  <si>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</si>
  <si>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</si>
  <si>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</si>
  <si>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</si>
  <si>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</si>
  <si>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</si>
  <si>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</si>
  <si>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</si>
  <si>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</si>
  <si>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</si>
  <si>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</si>
  <si>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</si>
  <si>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</si>
  <si>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</si>
  <si>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</si>
  <si>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</si>
  <si>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</si>
  <si>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</si>
  <si>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</si>
  <si>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</si>
  <si>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</si>
  <si>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</si>
  <si>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</si>
  <si>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</si>
  <si>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</si>
  <si>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</si>
  <si>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</si>
  <si>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</si>
  <si>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</si>
  <si>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</si>
  <si>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</si>
  <si>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</si>
  <si>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</si>
  <si>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</si>
  <si>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</si>
  <si>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</si>
  <si>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</si>
  <si>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</si>
  <si>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</si>
  <si>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</si>
  <si>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</si>
  <si>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</si>
  <si>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</si>
  <si>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</si>
  <si>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</si>
  <si>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</si>
  <si>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</si>
  <si>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</si>
  <si>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</si>
  <si>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</si>
  <si>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</si>
  <si>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</si>
  <si>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</si>
  <si>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</si>
  <si>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</si>
  <si>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</si>
  <si>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</si>
  <si>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</si>
  <si>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</si>
  <si>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</si>
  <si>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</si>
  <si>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</si>
  <si>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</si>
  <si>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</si>
  <si>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</si>
  <si>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</si>
  <si>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</si>
  <si>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</si>
  <si>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</si>
  <si>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</si>
  <si>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</si>
  <si>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</si>
  <si>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</si>
  <si>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</si>
  <si>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</si>
  <si>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</si>
  <si>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</si>
  <si>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</si>
  <si>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</si>
  <si>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</si>
  <si>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</si>
  <si>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</si>
  <si>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</si>
  <si>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</si>
  <si>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</si>
  <si>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</si>
  <si>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</si>
  <si>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</si>
  <si>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</si>
  <si>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</si>
  <si>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</si>
  <si>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</si>
  <si>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</si>
  <si>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</si>
  <si>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</si>
  <si>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</si>
  <si>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</si>
  <si>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</si>
  <si>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</si>
  <si>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</si>
  <si>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</si>
  <si>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</si>
  <si>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</si>
  <si>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</si>
  <si>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</si>
  <si>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</si>
  <si>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</si>
  <si>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</si>
  <si>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</si>
  <si>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</si>
  <si>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</si>
  <si>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</si>
  <si>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</si>
  <si>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</si>
  <si>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</si>
  <si>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</si>
  <si>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</si>
  <si>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</si>
  <si>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</si>
  <si>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</si>
  <si>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</si>
  <si>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</si>
  <si>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</si>
  <si>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</si>
  <si>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</si>
  <si>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</si>
  <si>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</si>
  <si>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</si>
  <si>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</si>
  <si>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</si>
  <si>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</si>
  <si>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</si>
  <si>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</si>
  <si>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</si>
  <si>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</si>
  <si>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</si>
  <si>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</si>
  <si>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</si>
  <si>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</si>
  <si>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</si>
  <si>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</si>
  <si>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</si>
  <si>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</si>
  <si>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</si>
  <si>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</si>
  <si>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</si>
  <si>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</si>
  <si>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</si>
  <si>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</si>
  <si>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</si>
  <si>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</si>
  <si>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</si>
  <si>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</si>
  <si>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</si>
  <si>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</si>
  <si>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</si>
  <si>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</si>
  <si>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</si>
  <si>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</si>
  <si>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</si>
  <si>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</si>
  <si>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</si>
  <si>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</si>
  <si>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</si>
  <si>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</si>
  <si>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</si>
  <si>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</si>
  <si>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</si>
  <si>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</si>
  <si>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</si>
  <si>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</si>
  <si>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</si>
  <si>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</si>
  <si>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</si>
  <si>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</si>
  <si>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</si>
  <si>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</si>
  <si>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</si>
  <si>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</si>
  <si>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</si>
  <si>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</si>
  <si>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</si>
  <si>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</si>
  <si>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</si>
  <si>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</si>
  <si>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</si>
  <si>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</si>
  <si>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</si>
  <si>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</si>
  <si>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</si>
  <si>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</si>
  <si>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</si>
  <si>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</si>
  <si>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</si>
  <si>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</si>
  <si>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</si>
  <si>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</si>
  <si>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</si>
  <si>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</si>
  <si>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</si>
  <si>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</si>
  <si>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</si>
  <si>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</si>
  <si>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</si>
  <si>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</si>
  <si>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</si>
  <si>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</si>
  <si>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</si>
  <si>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</si>
  <si>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</si>
  <si>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</si>
  <si>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</si>
  <si>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</si>
  <si>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</si>
  <si>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</si>
  <si>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</si>
  <si>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</si>
  <si>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</si>
  <si>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</si>
  <si>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</si>
  <si>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</si>
  <si>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</si>
  <si>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</si>
  <si>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</si>
  <si>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</si>
  <si>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</si>
  <si>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</si>
  <si>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</si>
  <si>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</si>
  <si>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</si>
  <si>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</si>
  <si>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</si>
  <si>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</si>
  <si>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</si>
  <si>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</si>
  <si>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</si>
  <si>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</si>
  <si>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</si>
  <si>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</si>
  <si>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</si>
  <si>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</si>
  <si>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</si>
  <si>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</si>
  <si>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</si>
  <si>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</si>
  <si>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</si>
  <si>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</si>
  <si>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</si>
  <si>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</si>
  <si>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</si>
  <si>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</si>
  <si>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</si>
  <si>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</si>
  <si>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</si>
  <si>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</si>
  <si>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</si>
  <si>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</si>
  <si>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</si>
  <si>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</si>
  <si>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</si>
  <si>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</si>
  <si>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</si>
  <si>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</si>
  <si>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</si>
  <si>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</si>
  <si>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</si>
  <si>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</si>
  <si>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</si>
  <si>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</si>
  <si>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</si>
  <si>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</si>
  <si>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</si>
  <si>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</si>
  <si>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</si>
  <si>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</si>
  <si>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</si>
  <si>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</si>
  <si>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</si>
  <si>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</si>
  <si>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</si>
  <si>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</si>
  <si>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</si>
  <si>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</si>
  <si>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</si>
  <si>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</si>
  <si>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</si>
  <si>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</si>
  <si>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</si>
  <si>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</si>
  <si>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</si>
  <si>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</si>
  <si>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</si>
  <si>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</si>
  <si>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</si>
  <si>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</si>
  <si>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</si>
  <si>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</si>
  <si>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</si>
  <si>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</si>
  <si>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</si>
  <si>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</si>
  <si>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</si>
  <si>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</si>
  <si>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</si>
  <si>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</si>
  <si>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</si>
  <si>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</si>
  <si>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</si>
  <si>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</si>
  <si>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</si>
  <si>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</si>
  <si>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</si>
  <si>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</si>
  <si>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</si>
  <si>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</si>
  <si>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</si>
  <si>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</si>
  <si>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</si>
  <si>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</si>
  <si>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</si>
  <si>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</si>
  <si>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</si>
  <si>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</si>
  <si>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</si>
  <si>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</si>
  <si>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</si>
  <si>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</si>
  <si>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</si>
  <si>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</si>
  <si>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</si>
  <si>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</si>
  <si>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</si>
  <si>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</si>
  <si>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</si>
  <si>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</si>
  <si>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</si>
  <si>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</si>
  <si>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</si>
  <si>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</si>
  <si>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</si>
  <si>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</si>
  <si>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</si>
  <si>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</si>
  <si>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</si>
  <si>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</si>
  <si>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</si>
  <si>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</si>
  <si>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</si>
  <si>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</si>
  <si>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</si>
  <si>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</si>
  <si>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</si>
  <si>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</si>
  <si>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</si>
  <si>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</si>
  <si>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</si>
  <si>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</si>
  <si>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</si>
  <si>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</si>
  <si>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</si>
  <si>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</si>
  <si>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</si>
  <si>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</si>
  <si>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</si>
  <si>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</si>
  <si>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</si>
  <si>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</si>
  <si>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</si>
  <si>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</si>
  <si>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</si>
  <si>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</si>
  <si>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</si>
  <si>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</si>
  <si>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</si>
  <si>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</si>
  <si>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</si>
  <si>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</si>
  <si>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</si>
  <si>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</si>
  <si>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</si>
  <si>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</si>
  <si>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</si>
  <si>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</si>
  <si>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</si>
  <si>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</si>
  <si>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</si>
  <si>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</si>
  <si>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</si>
  <si>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</si>
  <si>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</si>
  <si>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</si>
  <si>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</si>
  <si>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</si>
  <si>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</si>
  <si>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</si>
  <si>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</si>
  <si>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</si>
  <si>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</si>
  <si>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</si>
  <si>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</si>
  <si>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</si>
  <si>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</si>
  <si>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</si>
  <si>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</si>
  <si>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</si>
  <si>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</si>
  <si>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</si>
  <si>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</si>
  <si>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</si>
  <si>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</si>
  <si>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</si>
  <si>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</si>
  <si>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</si>
  <si>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</si>
  <si>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</si>
  <si>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</si>
  <si>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</si>
  <si>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</si>
  <si>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</si>
  <si>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</si>
  <si>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</si>
  <si>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</si>
  <si>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</si>
  <si>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</si>
  <si>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</si>
  <si>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</si>
  <si>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</si>
  <si>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</si>
  <si>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</si>
  <si>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</si>
  <si>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</si>
  <si>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</si>
  <si>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</si>
  <si>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</si>
  <si>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</si>
  <si>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</si>
  <si>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</si>
  <si>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</si>
  <si>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</si>
  <si>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</si>
  <si>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</si>
  <si>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</si>
  <si>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</si>
  <si>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</si>
  <si>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</si>
  <si>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</si>
  <si>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</si>
  <si>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</si>
  <si>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</si>
  <si>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</si>
  <si>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</si>
  <si>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</si>
  <si>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</si>
  <si>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</si>
  <si>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</si>
  <si>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</si>
  <si>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</si>
  <si>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</si>
  <si>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</si>
  <si>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</si>
  <si>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</si>
  <si>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</si>
  <si>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</si>
  <si>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</si>
  <si>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</si>
  <si>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</si>
  <si>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</si>
  <si>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</si>
  <si>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</si>
  <si>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</si>
  <si>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</si>
  <si>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</si>
  <si>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</si>
  <si>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</si>
  <si>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</si>
  <si>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</si>
  <si>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</si>
  <si>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</si>
  <si>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</si>
  <si>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</si>
  <si>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</si>
  <si>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</si>
  <si>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</si>
  <si>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</si>
  <si>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</si>
  <si>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</si>
  <si>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</si>
  <si>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</si>
  <si>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</si>
  <si>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</si>
  <si>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</si>
  <si>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</si>
  <si>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</si>
  <si>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</si>
  <si>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</si>
  <si>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</si>
  <si>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</si>
  <si>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</si>
  <si>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</si>
  <si>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</si>
  <si>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</si>
  <si>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</si>
  <si>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</si>
  <si>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</si>
  <si>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</si>
  <si>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</si>
  <si>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</si>
  <si>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</si>
  <si>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</si>
  <si>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</si>
  <si>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</si>
  <si>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</si>
  <si>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</si>
  <si>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</si>
  <si>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</si>
  <si>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</si>
  <si>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</si>
  <si>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</si>
  <si>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</si>
  <si>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</si>
  <si>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</si>
  <si>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</si>
  <si>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</si>
  <si>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</si>
  <si>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</si>
  <si>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</si>
  <si>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</si>
  <si>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</si>
  <si>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</si>
  <si>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</si>
  <si>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</si>
  <si>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</si>
  <si>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</si>
  <si>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</si>
  <si>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</si>
  <si>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</si>
  <si>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</si>
  <si>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</si>
  <si>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</si>
  <si>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</si>
  <si>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</si>
  <si>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</si>
  <si>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</si>
  <si>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</si>
  <si>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</si>
  <si>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</si>
  <si>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</si>
  <si>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</si>
  <si>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</si>
  <si>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</si>
  <si>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</si>
  <si>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</si>
  <si>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</si>
  <si>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</si>
  <si>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</si>
  <si>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</si>
  <si>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</si>
  <si>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</si>
  <si>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</si>
  <si>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</si>
  <si>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</si>
  <si>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</si>
  <si>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</si>
  <si>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</si>
  <si>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</si>
  <si>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</si>
  <si>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</si>
  <si>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</si>
  <si>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</si>
  <si>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</si>
  <si>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</si>
  <si>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</si>
  <si>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</si>
  <si>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</si>
  <si>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</si>
  <si>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</si>
  <si>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</si>
  <si>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</si>
  <si>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</si>
  <si>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</si>
  <si>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</si>
  <si>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</si>
  <si>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</si>
  <si>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</si>
  <si>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</si>
  <si>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</si>
  <si>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</si>
  <si>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</si>
  <si>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</si>
  <si>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</si>
  <si>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</si>
  <si>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</si>
  <si>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</si>
  <si>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</si>
  <si>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</si>
  <si>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</si>
  <si>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</si>
  <si>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</si>
  <si>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</si>
  <si>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</si>
  <si>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</si>
  <si>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</si>
  <si>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</si>
  <si>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</si>
  <si>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</si>
  <si>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</si>
  <si>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</si>
  <si>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</si>
  <si>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</si>
  <si>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</si>
  <si>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</si>
  <si>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</si>
  <si>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</si>
  <si>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</si>
  <si>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</si>
  <si>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</si>
  <si>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</si>
  <si>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</si>
  <si>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</si>
  <si>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</si>
  <si>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</si>
  <si>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</si>
  <si>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</si>
  <si>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</si>
  <si>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</si>
  <si>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</si>
  <si>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</si>
  <si>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</si>
  <si>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</si>
  <si>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</si>
  <si>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</si>
  <si>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</si>
  <si>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</si>
  <si>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</si>
  <si>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</si>
  <si>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</si>
  <si>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</si>
  <si>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</si>
  <si>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</si>
  <si>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</si>
  <si>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</si>
  <si>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</si>
  <si>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</si>
  <si>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</si>
  <si>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</si>
  <si>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</si>
  <si>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</si>
  <si>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</si>
  <si>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</si>
  <si>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</si>
  <si>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</si>
  <si>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</si>
  <si>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</si>
  <si>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</si>
  <si>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</si>
  <si>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</si>
  <si>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</si>
  <si>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</si>
  <si>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</si>
  <si>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</si>
  <si>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</si>
  <si>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</si>
  <si>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</si>
  <si>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</si>
  <si>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</si>
  <si>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</si>
  <si>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</si>
  <si>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</si>
  <si>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</si>
  <si>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</si>
  <si>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</si>
  <si>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</si>
  <si>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</si>
  <si>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</si>
  <si>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</si>
  <si>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</si>
  <si>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</si>
  <si>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</si>
  <si>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</si>
  <si>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</si>
  <si>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</si>
  <si>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</si>
  <si>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</si>
  <si>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</si>
  <si>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</si>
  <si>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</si>
  <si>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</si>
  <si>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</si>
  <si>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</si>
  <si>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</si>
  <si>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</si>
  <si>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</si>
  <si>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</si>
  <si>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</si>
  <si>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</si>
  <si>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</si>
  <si>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</si>
  <si>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</si>
  <si>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</si>
  <si>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</si>
  <si>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</si>
  <si>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</si>
  <si>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</si>
  <si>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</si>
  <si>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</si>
  <si>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</si>
  <si>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</si>
  <si>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</si>
  <si>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</si>
  <si>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</si>
  <si>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</si>
  <si>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</si>
  <si>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</si>
  <si>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</si>
  <si>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</si>
  <si>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</si>
  <si>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</si>
  <si>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</si>
  <si>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</si>
  <si>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</si>
  <si>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</si>
  <si>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</si>
  <si>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</si>
  <si>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</si>
  <si>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</si>
  <si>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</si>
  <si>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</si>
  <si>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</si>
  <si>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</si>
  <si>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</si>
  <si>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</si>
  <si>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</si>
  <si>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</si>
  <si>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</si>
  <si>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</si>
  <si>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</si>
  <si>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</si>
  <si>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</si>
  <si>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</si>
  <si>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</si>
  <si>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</si>
  <si>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</si>
  <si>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</si>
  <si>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</si>
  <si>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</si>
  <si>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</si>
  <si>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</si>
  <si>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</si>
  <si>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</si>
  <si>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</si>
  <si>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</si>
  <si>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</si>
  <si>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</si>
  <si>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</si>
  <si>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</si>
  <si>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</si>
  <si>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</si>
  <si>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</si>
  <si>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</si>
  <si>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</si>
  <si>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</si>
  <si>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</si>
  <si>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</si>
  <si>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</si>
  <si>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</si>
  <si>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</si>
  <si>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</si>
  <si>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</si>
  <si>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</si>
  <si>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</si>
  <si>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</si>
  <si>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</si>
  <si>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</si>
  <si>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</si>
  <si>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</si>
  <si>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</si>
  <si>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</si>
  <si>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</si>
  <si>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</si>
  <si>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</si>
  <si>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</si>
  <si>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</si>
  <si>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</si>
  <si>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</si>
  <si>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</si>
  <si>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</si>
  <si>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</si>
  <si>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</si>
  <si>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</si>
  <si>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</si>
  <si>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</si>
  <si>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</si>
  <si>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</si>
  <si>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</si>
  <si>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</si>
  <si>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</si>
  <si>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</si>
  <si>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</si>
  <si>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</si>
  <si>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</si>
  <si>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</si>
  <si>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</si>
  <si>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</si>
  <si>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</si>
  <si>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</si>
  <si>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</si>
  <si>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</si>
  <si>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</si>
  <si>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</si>
  <si>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</si>
  <si>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</si>
  <si>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</si>
  <si>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</si>
  <si>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</si>
  <si>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</si>
  <si>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</si>
  <si>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</si>
  <si>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</si>
  <si>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</si>
  <si>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</si>
  <si>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</si>
  <si>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</si>
  <si>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</si>
  <si>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</si>
  <si>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</si>
  <si>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</si>
  <si>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</si>
  <si>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</si>
  <si>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</si>
  <si>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</si>
  <si>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</si>
  <si>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</si>
  <si>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</si>
  <si>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</si>
  <si>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</si>
  <si>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</si>
  <si>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</si>
  <si>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</si>
  <si>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</si>
  <si>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</si>
  <si>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</si>
  <si>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</si>
  <si>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</si>
  <si>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</si>
  <si>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</si>
  <si>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</si>
  <si>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</si>
  <si>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</si>
  <si>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</si>
  <si>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</si>
  <si>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</si>
  <si>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</si>
  <si>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</si>
  <si>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</si>
  <si>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</si>
  <si>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</si>
  <si>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</si>
  <si>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</si>
  <si>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</si>
  <si>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</si>
  <si>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</si>
  <si>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</si>
  <si>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</si>
  <si>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</si>
  <si>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</si>
  <si>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</si>
  <si>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</si>
  <si>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</si>
  <si>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</si>
  <si>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</si>
  <si>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</si>
  <si>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</si>
  <si>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</si>
  <si>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</si>
  <si>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</si>
  <si>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</si>
  <si>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</si>
  <si>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</si>
  <si>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</si>
  <si>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</si>
  <si>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</si>
  <si>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</si>
  <si>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</si>
  <si>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</si>
  <si>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</si>
  <si>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</si>
  <si>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</si>
  <si>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</si>
  <si>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</si>
  <si>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</si>
  <si>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</si>
  <si>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</si>
  <si>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</si>
  <si>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</si>
  <si>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</si>
  <si>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</si>
  <si>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</si>
  <si>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</si>
  <si>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</si>
  <si>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</si>
  <si>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</si>
  <si>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</si>
  <si>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</si>
  <si>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</si>
  <si>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</si>
  <si>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</si>
  <si>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</si>
  <si>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</si>
  <si>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</si>
  <si>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</si>
  <si>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</si>
  <si>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</si>
  <si>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</si>
  <si>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</si>
  <si>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</si>
  <si>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</si>
  <si>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</si>
  <si>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</si>
  <si>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</si>
  <si>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</si>
  <si>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</si>
  <si>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</si>
  <si>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</si>
  <si>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</si>
  <si>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</si>
  <si>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</si>
  <si>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</si>
  <si>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</si>
  <si>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</si>
  <si>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</si>
  <si>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</si>
  <si>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</si>
  <si>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</si>
  <si>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</si>
  <si>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</si>
  <si>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</si>
  <si>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</si>
  <si>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</si>
  <si>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</si>
  <si>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</si>
  <si>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</si>
  <si>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</si>
  <si>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</si>
  <si>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</si>
  <si>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</si>
  <si>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</si>
  <si>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</si>
  <si>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</si>
  <si>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</si>
  <si>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</si>
  <si>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</si>
  <si>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</si>
  <si>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</si>
  <si>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</si>
  <si>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</si>
  <si>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</si>
  <si>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</si>
  <si>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</si>
  <si>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</si>
  <si>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</si>
  <si>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</si>
  <si>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</si>
  <si>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</si>
  <si>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</si>
  <si>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</si>
  <si>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</si>
  <si>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</si>
  <si>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</si>
  <si>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</si>
  <si>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</si>
  <si>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</si>
  <si>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</si>
  <si>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</si>
  <si>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</si>
  <si>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</si>
  <si>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</si>
  <si>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</si>
  <si>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</si>
  <si>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</si>
  <si>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</si>
  <si>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</si>
  <si>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</si>
  <si>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</si>
  <si>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</si>
  <si>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</si>
  <si>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</si>
  <si>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</si>
  <si>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</si>
  <si>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</si>
  <si>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</si>
  <si>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</si>
  <si>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</si>
  <si>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</si>
  <si>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</si>
  <si>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</si>
  <si>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</si>
  <si>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</si>
  <si>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</si>
  <si>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</si>
  <si>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</si>
  <si>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</si>
  <si>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</si>
  <si>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</si>
  <si>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</si>
  <si>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</si>
  <si>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</si>
  <si>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</si>
  <si>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</si>
  <si>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</si>
  <si>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</si>
  <si>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</si>
  <si>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</si>
  <si>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</si>
  <si>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</si>
  <si>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</si>
  <si>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</si>
  <si>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</si>
  <si>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</si>
  <si>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</si>
  <si>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</si>
  <si>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</si>
  <si>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</si>
  <si>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</si>
  <si>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</si>
  <si>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</si>
  <si>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</si>
  <si>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</si>
  <si>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</si>
  <si>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</si>
  <si>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</si>
  <si>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</si>
  <si>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</si>
  <si>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</si>
  <si>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</si>
  <si>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</si>
  <si>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</si>
  <si>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</si>
  <si>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</si>
  <si>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</si>
  <si>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</si>
  <si>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</si>
  <si>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</si>
  <si>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</si>
  <si>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</si>
  <si>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</si>
  <si>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</si>
  <si>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</si>
  <si>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</si>
  <si>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</si>
  <si>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</si>
  <si>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</si>
  <si>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</si>
  <si>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</si>
  <si>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</si>
  <si>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</si>
  <si>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</si>
  <si>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</si>
  <si>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</si>
  <si>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</si>
  <si>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</si>
  <si>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</si>
  <si>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</si>
  <si>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</si>
  <si>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</si>
  <si>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</si>
  <si>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</si>
  <si>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</si>
  <si>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</si>
  <si>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</si>
  <si>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</si>
  <si>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</si>
  <si>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</si>
  <si>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</si>
  <si>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</si>
  <si>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</si>
  <si>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</si>
  <si>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</si>
  <si>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</si>
  <si>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</si>
  <si>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</si>
  <si>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</si>
  <si>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</si>
  <si>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</si>
  <si>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</si>
  <si>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</si>
  <si>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</si>
  <si>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</si>
  <si>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</si>
  <si>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</si>
  <si>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</si>
  <si>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</si>
  <si>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</si>
  <si>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</si>
  <si>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</si>
  <si>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</si>
  <si>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</si>
  <si>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</si>
  <si>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</si>
  <si>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</si>
  <si>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</si>
  <si>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</si>
  <si>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</si>
  <si>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</si>
  <si>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</si>
  <si>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</si>
  <si>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</si>
  <si>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</si>
  <si>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</si>
  <si>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</si>
  <si>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</si>
  <si>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</si>
  <si>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</si>
  <si>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</si>
  <si>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</si>
  <si>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</si>
  <si>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</si>
  <si>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</si>
  <si>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</si>
  <si>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</si>
  <si>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</si>
  <si>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</si>
  <si>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</si>
  <si>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</si>
  <si>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</si>
  <si>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</si>
  <si>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</si>
  <si>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</si>
  <si>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</si>
  <si>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</si>
  <si>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</si>
  <si>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</si>
  <si>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</si>
  <si>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</si>
  <si>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</si>
  <si>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</si>
  <si>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</si>
  <si>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</si>
  <si>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</si>
  <si>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</si>
  <si>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</si>
  <si>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</si>
  <si>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</si>
  <si>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</si>
  <si>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</si>
  <si>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</si>
  <si>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</si>
  <si>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</si>
  <si>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</si>
  <si>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</si>
  <si>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</si>
  <si>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</si>
  <si>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</si>
  <si>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</si>
  <si>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</si>
  <si>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</si>
  <si>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</si>
  <si>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</si>
  <si>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</si>
  <si>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</si>
  <si>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</si>
  <si>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</si>
  <si>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</si>
  <si>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</si>
  <si>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</si>
  <si>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</si>
  <si>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</si>
  <si>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</si>
  <si>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</si>
  <si>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</si>
  <si>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</si>
  <si>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</si>
  <si>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</si>
  <si>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</si>
  <si>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</si>
  <si>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</si>
  <si>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</si>
  <si>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</si>
  <si>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</si>
  <si>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</si>
  <si>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</si>
  <si>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</si>
  <si>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</si>
  <si>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</si>
  <si>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</si>
  <si>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</si>
  <si>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</si>
  <si>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</si>
  <si>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</si>
  <si>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</si>
  <si>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</si>
  <si>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</si>
  <si>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</si>
  <si>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</si>
  <si>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</si>
  <si>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</si>
  <si>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</si>
  <si>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</si>
  <si>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</si>
  <si>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</si>
  <si>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</si>
  <si>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</si>
  <si>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</si>
  <si>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</si>
  <si>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</si>
  <si>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</si>
  <si>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</si>
  <si>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</si>
  <si>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</si>
  <si>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</si>
  <si>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</si>
  <si>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</si>
  <si>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</si>
  <si>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</si>
  <si>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</si>
  <si>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</si>
  <si>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</si>
  <si>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</si>
  <si>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</si>
  <si>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</si>
  <si>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</si>
  <si>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</si>
  <si>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</si>
  <si>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</si>
  <si>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</si>
  <si>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</si>
  <si>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</si>
  <si>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</si>
  <si>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</si>
  <si>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</si>
  <si>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</si>
  <si>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</si>
  <si>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</si>
  <si>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</si>
  <si>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</si>
  <si>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</si>
  <si>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</si>
  <si>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</si>
  <si>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</si>
  <si>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</si>
  <si>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</si>
  <si>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</si>
  <si>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</si>
  <si>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</si>
  <si>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</si>
  <si>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</si>
  <si>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</si>
  <si>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</si>
  <si>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</si>
  <si>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</si>
  <si>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</si>
  <si>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</si>
  <si>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</si>
  <si>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</si>
  <si>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</si>
  <si>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</si>
  <si>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</si>
  <si>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</si>
  <si>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</si>
  <si>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</si>
  <si>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</si>
  <si>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</si>
  <si>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</si>
  <si>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</si>
  <si>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</si>
  <si>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</si>
  <si>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</si>
  <si>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</si>
  <si>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</si>
  <si>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</si>
  <si>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</si>
  <si>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</si>
  <si>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</si>
  <si>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</si>
  <si>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</si>
  <si>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</si>
  <si>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</si>
  <si>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</si>
  <si>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</si>
  <si>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</si>
  <si>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</si>
  <si>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</si>
  <si>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</si>
  <si>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</si>
  <si>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</si>
  <si>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</si>
  <si>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</si>
  <si>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</si>
  <si>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</si>
  <si>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</si>
  <si>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</si>
  <si>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</si>
  <si>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</si>
  <si>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</si>
  <si>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</si>
  <si>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</si>
  <si>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</si>
  <si>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</si>
  <si>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</si>
  <si>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</si>
  <si>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</si>
  <si>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</si>
  <si>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</si>
  <si>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</si>
  <si>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</si>
  <si>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</si>
  <si>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</si>
  <si>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</si>
  <si>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</si>
  <si>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</si>
  <si>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</si>
  <si>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</si>
  <si>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</si>
  <si>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</si>
  <si>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</si>
  <si>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</si>
  <si>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</si>
  <si>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</si>
  <si>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</si>
  <si>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</si>
  <si>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</si>
  <si>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</si>
  <si>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</si>
  <si>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</si>
  <si>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</si>
  <si>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</si>
  <si>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</si>
  <si>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</si>
  <si>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</si>
  <si>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</si>
  <si>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</si>
  <si>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</si>
  <si>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</si>
  <si>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</si>
  <si>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</si>
  <si>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</si>
  <si>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</si>
  <si>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</si>
  <si>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</si>
  <si>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</si>
  <si>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</si>
  <si>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</si>
  <si>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</si>
  <si>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</si>
  <si>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</si>
  <si>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</si>
  <si>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</si>
  <si>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</si>
  <si>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</si>
  <si>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</si>
  <si>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</si>
  <si>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</si>
  <si>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</si>
  <si>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</si>
  <si>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</si>
  <si>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</si>
  <si>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</si>
  <si>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</si>
  <si>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</si>
  <si>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</si>
  <si>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</si>
  <si>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</si>
  <si>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</si>
  <si>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</si>
  <si>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</si>
  <si>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</si>
  <si>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</si>
  <si>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</si>
  <si>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</si>
  <si>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</si>
  <si>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</si>
  <si>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</si>
  <si>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</si>
  <si>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</si>
  <si>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</si>
  <si>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</si>
  <si>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</si>
  <si>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</si>
  <si>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</si>
  <si>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</si>
  <si>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</si>
  <si>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</si>
  <si>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</si>
  <si>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</si>
  <si>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</si>
  <si>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</si>
  <si>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</si>
  <si>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</si>
  <si>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</si>
  <si>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</si>
  <si>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</si>
  <si>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</si>
  <si>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</si>
  <si>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</si>
  <si>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</si>
  <si>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</si>
  <si>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</si>
  <si>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</si>
  <si>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</si>
  <si>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</si>
  <si>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</si>
  <si>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</si>
  <si>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</si>
  <si>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</si>
  <si>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</si>
  <si>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</si>
  <si>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</si>
  <si>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</si>
  <si>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</si>
  <si>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</si>
  <si>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</si>
  <si>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</si>
  <si>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</si>
  <si>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</si>
  <si>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</si>
  <si>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</si>
  <si>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</si>
  <si>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</si>
  <si>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</si>
  <si>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</si>
  <si>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</si>
  <si>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</si>
  <si>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</si>
  <si>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</si>
  <si>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</si>
  <si>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</si>
  <si>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</si>
  <si>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</si>
  <si>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</si>
  <si>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</si>
  <si>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</si>
  <si>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</si>
  <si>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</si>
  <si>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</si>
  <si>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</si>
  <si>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</si>
  <si>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</si>
  <si>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</si>
  <si>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</si>
  <si>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</si>
  <si>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</si>
  <si>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</si>
  <si>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</si>
  <si>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</si>
  <si>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</si>
  <si>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</si>
  <si>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</si>
  <si>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</si>
  <si>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</si>
  <si>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</si>
  <si>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</si>
  <si>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</si>
  <si>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</si>
  <si>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</si>
  <si>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</si>
  <si>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</si>
  <si>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</si>
  <si>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</si>
  <si>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</si>
  <si>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</si>
  <si>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</si>
  <si>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</si>
  <si>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</si>
  <si>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</si>
  <si>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</si>
  <si>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</si>
  <si>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</si>
  <si>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</si>
  <si>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</si>
  <si>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</si>
  <si>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</si>
  <si>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</si>
  <si>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</si>
  <si>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</si>
  <si>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</si>
  <si>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</si>
  <si>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</si>
  <si>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</si>
  <si>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</si>
  <si>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</si>
  <si>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</si>
  <si>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</si>
  <si>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</si>
  <si>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</si>
  <si>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</si>
  <si>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</si>
  <si>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</si>
  <si>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</si>
  <si>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</si>
  <si>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</si>
  <si>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</si>
  <si>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</si>
  <si>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</si>
  <si>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</si>
  <si>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</si>
  <si>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</si>
  <si>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</si>
  <si>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</si>
  <si>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</si>
  <si>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</si>
  <si>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</si>
  <si>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</si>
  <si>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</si>
  <si>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</si>
  <si>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</si>
  <si>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</si>
  <si>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</si>
  <si>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</si>
  <si>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</si>
  <si>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</si>
  <si>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</si>
  <si>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</si>
  <si>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</si>
  <si>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</si>
  <si>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</si>
  <si>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</si>
  <si>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</si>
  <si>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</si>
  <si>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</si>
  <si>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</si>
  <si>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</si>
  <si>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</si>
  <si>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</si>
  <si>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</si>
  <si>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</si>
  <si>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</si>
  <si>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</si>
  <si>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</si>
  <si>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</si>
  <si>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</si>
  <si>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</si>
  <si>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</si>
  <si>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</si>
  <si>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</si>
  <si>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</si>
  <si>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</si>
  <si>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</si>
  <si>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</si>
  <si>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</si>
  <si>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</si>
  <si>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</si>
  <si>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</si>
  <si>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</si>
  <si>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</si>
  <si>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</si>
  <si>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</si>
  <si>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</si>
  <si>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</si>
  <si>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</si>
  <si>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</si>
  <si>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</si>
  <si>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</si>
  <si>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</si>
  <si>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</si>
  <si>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</si>
  <si>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</si>
  <si>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</si>
  <si>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</si>
  <si>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</si>
  <si>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</si>
  <si>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</si>
  <si>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</si>
  <si>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</si>
  <si>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</si>
  <si>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</si>
  <si>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</si>
  <si>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</si>
  <si>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</si>
  <si>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</si>
  <si>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</si>
  <si>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</si>
  <si>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</si>
  <si>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</si>
  <si>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</si>
  <si>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</si>
  <si>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</si>
  <si>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</si>
  <si>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</si>
  <si>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</si>
  <si>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</si>
  <si>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</si>
  <si>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</si>
  <si>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</si>
  <si>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</si>
  <si>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</si>
  <si>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</si>
  <si>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</si>
  <si>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</si>
  <si>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</si>
  <si>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</si>
  <si>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</si>
  <si>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</si>
  <si>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</si>
  <si>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</si>
  <si>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</si>
  <si>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</si>
  <si>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</si>
  <si>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</si>
  <si>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</si>
  <si>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</si>
  <si>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</si>
  <si>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</si>
  <si>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</si>
  <si>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</si>
  <si>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</si>
  <si>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</si>
  <si>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</si>
  <si>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</si>
  <si>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</si>
  <si>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</si>
  <si>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</si>
  <si>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</si>
  <si>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</si>
  <si>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</si>
  <si>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</si>
  <si>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</si>
  <si>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</si>
  <si>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</si>
  <si>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</si>
  <si>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</si>
  <si>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</si>
  <si>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</si>
  <si>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</si>
  <si>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</si>
  <si>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</si>
  <si>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</si>
  <si>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</si>
  <si>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</si>
  <si>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</si>
  <si>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</si>
  <si>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</si>
  <si>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</si>
  <si>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</si>
  <si>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</si>
  <si>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</si>
  <si>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</si>
  <si>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</si>
  <si>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</si>
  <si>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</si>
  <si>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</si>
  <si>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</si>
  <si>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</si>
  <si>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</si>
  <si>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</si>
  <si>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</si>
  <si>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</si>
  <si>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</si>
  <si>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</si>
  <si>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</si>
  <si>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</si>
  <si>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</si>
  <si>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</si>
  <si>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</si>
  <si>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</si>
  <si>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</si>
  <si>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</si>
  <si>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</si>
  <si>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</si>
  <si>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</si>
  <si>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</si>
  <si>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</si>
  <si>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</si>
  <si>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</si>
  <si>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</si>
  <si>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</si>
  <si>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</si>
  <si>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</si>
  <si>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</si>
  <si>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</si>
  <si>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</si>
  <si>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</si>
  <si>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</si>
  <si>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</si>
  <si>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</si>
  <si>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</si>
  <si>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</si>
  <si>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</si>
  <si>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</si>
  <si>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</si>
  <si>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</si>
  <si>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</si>
  <si>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</si>
  <si>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</si>
  <si>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</si>
  <si>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</si>
  <si>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</si>
  <si>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</si>
  <si>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</si>
  <si>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</si>
  <si>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</si>
  <si>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</si>
  <si>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</si>
  <si>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</si>
  <si>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</si>
  <si>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</si>
  <si>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</si>
  <si>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</si>
  <si>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</si>
  <si>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</si>
  <si>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</si>
  <si>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</si>
  <si>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</si>
  <si>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</si>
  <si>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</si>
  <si>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</si>
  <si>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</si>
  <si>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</si>
  <si>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</si>
  <si>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</si>
  <si>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</si>
  <si>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</si>
  <si>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</si>
  <si>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</si>
  <si>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</si>
  <si>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</si>
  <si>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</si>
  <si>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</si>
  <si>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</si>
  <si>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</si>
  <si>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</si>
  <si>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</si>
  <si>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</si>
  <si>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</si>
  <si>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</si>
  <si>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</si>
  <si>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</si>
  <si>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</si>
  <si>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</si>
  <si>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</si>
  <si>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</si>
  <si>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</si>
  <si>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</si>
  <si>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</si>
  <si>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</si>
  <si>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</si>
  <si>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</si>
  <si>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</si>
  <si>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</si>
  <si>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</si>
  <si>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</si>
  <si>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</si>
  <si>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</si>
  <si>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</si>
  <si>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</si>
  <si>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</si>
  <si>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</si>
  <si>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</si>
  <si>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</si>
  <si>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</si>
  <si>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</si>
  <si>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</si>
  <si>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</si>
  <si>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</si>
  <si>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</si>
  <si>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</si>
  <si>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</si>
  <si>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</si>
  <si>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</si>
  <si>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</si>
  <si>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</si>
  <si>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</si>
  <si>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</si>
  <si>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</si>
  <si>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</si>
  <si>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</si>
  <si>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</si>
  <si>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</si>
  <si>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</si>
  <si>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</si>
  <si>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</si>
  <si>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</si>
  <si>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</si>
  <si>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</si>
  <si>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</si>
  <si>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</si>
  <si>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</si>
  <si>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</si>
  <si>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</si>
  <si>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</si>
  <si>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</si>
  <si>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</si>
  <si>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</si>
  <si>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</si>
  <si>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</si>
  <si>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</si>
  <si>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</si>
  <si>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</si>
  <si>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</si>
  <si>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</si>
  <si>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</si>
  <si>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</si>
  <si>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</si>
  <si>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</si>
  <si>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</si>
  <si>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</si>
  <si>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</si>
  <si>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</si>
  <si>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</si>
  <si>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</si>
  <si>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</si>
  <si>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</si>
  <si>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</si>
  <si>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</si>
  <si>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</si>
  <si>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</si>
  <si>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</si>
  <si>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</si>
  <si>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</si>
  <si>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</si>
  <si>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</si>
  <si>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</si>
  <si>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</si>
  <si>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</si>
  <si>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</si>
  <si>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</si>
  <si>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</si>
  <si>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</si>
  <si>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</si>
  <si>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</si>
  <si>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</si>
  <si>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</si>
  <si>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</si>
  <si>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</si>
  <si>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</si>
  <si>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</si>
  <si>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</si>
  <si>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</si>
  <si>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</si>
  <si>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</si>
  <si>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</si>
  <si>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</si>
  <si>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</si>
  <si>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</si>
  <si>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</si>
  <si>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</si>
  <si>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</si>
  <si>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</si>
  <si>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</si>
  <si>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</si>
  <si>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</si>
  <si>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</si>
  <si>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</si>
  <si>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</si>
  <si>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</si>
  <si>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</si>
  <si>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</si>
  <si>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</si>
  <si>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</si>
  <si>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</si>
  <si>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</si>
  <si>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</si>
  <si>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</si>
  <si>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</si>
  <si>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</si>
  <si>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</si>
  <si>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</si>
  <si>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</si>
  <si>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</si>
  <si>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</si>
  <si>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</si>
  <si>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</si>
  <si>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</si>
  <si>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</si>
  <si>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</si>
  <si>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</si>
  <si>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</si>
  <si>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</si>
  <si>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</si>
  <si>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</si>
  <si>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</si>
  <si>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</si>
  <si>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</si>
  <si>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</si>
  <si>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</si>
  <si>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</si>
  <si>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</si>
  <si>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</si>
  <si>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</si>
  <si>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</si>
  <si>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</si>
  <si>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</si>
  <si>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</si>
  <si>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</si>
  <si>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</si>
  <si>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</si>
  <si>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</si>
  <si>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</si>
  <si>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</si>
  <si>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</si>
  <si>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</si>
  <si>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</si>
  <si>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</si>
  <si>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</si>
  <si>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</si>
  <si>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</si>
  <si>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</si>
  <si>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</si>
  <si>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</si>
  <si>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</si>
  <si>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</si>
  <si>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</si>
  <si>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</si>
  <si>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</si>
  <si>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</si>
  <si>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</si>
  <si>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</si>
  <si>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</si>
  <si>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</si>
  <si>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</si>
  <si>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</si>
  <si>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</si>
  <si>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</si>
  <si>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</si>
  <si>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</si>
  <si>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</si>
  <si>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</si>
  <si>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</si>
  <si>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</si>
  <si>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</si>
  <si>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</si>
  <si>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</si>
  <si>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</si>
  <si>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</si>
  <si>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</si>
  <si>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</si>
  <si>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</si>
  <si>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</si>
  <si>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</si>
  <si>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</si>
  <si>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</si>
  <si>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</si>
  <si>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</si>
  <si>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</si>
  <si>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</si>
  <si>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</si>
  <si>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</si>
  <si>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</si>
  <si>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</si>
  <si>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</si>
  <si>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</si>
  <si>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</si>
  <si>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</si>
  <si>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</si>
  <si>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</si>
  <si>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</si>
  <si>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</si>
  <si>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</si>
  <si>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</si>
  <si>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</si>
  <si>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</si>
  <si>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</si>
  <si>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</si>
  <si>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</si>
  <si>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</si>
  <si>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</si>
  <si>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</si>
  <si>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</si>
  <si>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</si>
  <si>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</si>
  <si>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</si>
  <si>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</si>
  <si>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</si>
  <si>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</si>
  <si>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</si>
  <si>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</si>
  <si>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</si>
  <si>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</si>
  <si>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</si>
  <si>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</si>
  <si>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</si>
  <si>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</si>
  <si>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</si>
  <si>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</si>
  <si>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</si>
  <si>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</si>
  <si>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</si>
  <si>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</si>
  <si>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</si>
  <si>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</si>
  <si>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</si>
  <si>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</si>
  <si>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</si>
  <si>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</si>
  <si>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</si>
  <si>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</si>
  <si>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</si>
  <si>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</si>
  <si>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</si>
  <si>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</si>
  <si>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</si>
  <si>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</si>
  <si>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</si>
  <si>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</si>
  <si>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</si>
  <si>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</si>
  <si>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</si>
  <si>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</si>
  <si>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</si>
  <si>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</si>
  <si>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</si>
  <si>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</si>
  <si>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</si>
  <si>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</si>
  <si>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</si>
  <si>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</si>
  <si>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</si>
  <si>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</si>
  <si>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</si>
  <si>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</si>
  <si>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</si>
  <si>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</si>
  <si>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</si>
  <si>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</si>
  <si>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</si>
  <si>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</si>
  <si>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</si>
  <si>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</si>
  <si>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</si>
  <si>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</si>
  <si>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</si>
  <si>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</si>
  <si>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</si>
  <si>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</si>
  <si>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</si>
  <si>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</si>
  <si>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</si>
  <si>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</si>
  <si>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</si>
  <si>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</si>
  <si>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</si>
  <si>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</si>
  <si>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</si>
  <si>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</si>
  <si>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</si>
  <si>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</si>
  <si>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</si>
  <si>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</si>
  <si>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</si>
  <si>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</si>
  <si>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</si>
  <si>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</si>
  <si>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</si>
  <si>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</si>
  <si>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</si>
  <si>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</si>
  <si>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</si>
  <si>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</si>
  <si>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</si>
  <si>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</si>
  <si>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</si>
  <si>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</si>
  <si>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</si>
  <si>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</si>
  <si>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</si>
  <si>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</si>
  <si>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</si>
  <si>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</si>
  <si>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</si>
  <si>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</si>
  <si>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</si>
  <si>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</si>
  <si>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</si>
  <si>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</si>
  <si>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</si>
  <si>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</si>
  <si>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</si>
  <si>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</si>
  <si>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</si>
  <si>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</si>
  <si>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</si>
  <si>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</si>
  <si>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</si>
  <si>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</si>
  <si>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</si>
  <si>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</si>
  <si>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</si>
  <si>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</si>
  <si>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</si>
  <si>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</si>
  <si>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</si>
  <si>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</si>
  <si>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</si>
  <si>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</si>
  <si>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</si>
  <si>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</si>
  <si>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</si>
  <si>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</si>
  <si>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</si>
  <si>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</si>
  <si>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</si>
  <si>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</si>
  <si>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</si>
  <si>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</si>
  <si>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</si>
  <si>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</si>
  <si>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</si>
  <si>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</si>
  <si>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</si>
  <si>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</si>
  <si>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</si>
  <si>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</si>
  <si>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</si>
  <si>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</si>
  <si>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</si>
  <si>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</si>
  <si>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</si>
  <si>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</si>
  <si>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</si>
  <si>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</si>
  <si>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</si>
  <si>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</si>
  <si>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</si>
  <si>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</si>
  <si>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</si>
  <si>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</si>
  <si>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</si>
  <si>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</si>
  <si>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</si>
  <si>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</si>
  <si>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</si>
  <si>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</si>
  <si>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</si>
  <si>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</si>
  <si>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</si>
  <si>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</si>
  <si>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</si>
  <si>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</si>
  <si>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</si>
  <si>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</si>
  <si>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</si>
  <si>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</si>
  <si>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</si>
  <si>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</si>
  <si>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</si>
  <si>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</si>
  <si>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</si>
  <si>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</si>
  <si>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</si>
  <si>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</si>
  <si>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</si>
  <si>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</si>
  <si>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</si>
  <si>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</si>
  <si>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</si>
  <si>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</si>
  <si>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</si>
  <si>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</si>
  <si>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</si>
  <si>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</si>
  <si>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</si>
  <si>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</si>
  <si>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</si>
  <si>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</si>
  <si>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</si>
  <si>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</si>
  <si>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</si>
  <si>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</si>
  <si>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</si>
  <si>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</si>
  <si>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</si>
  <si>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</si>
  <si>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</si>
  <si>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</si>
  <si>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</si>
  <si>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</si>
  <si>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</si>
  <si>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</si>
  <si>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</si>
  <si>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</si>
  <si>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</si>
  <si>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</si>
  <si>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</si>
  <si>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</si>
  <si>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</si>
  <si>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</si>
  <si>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</si>
  <si>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</si>
  <si>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</si>
  <si>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</si>
  <si>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</si>
  <si>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</si>
  <si>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</si>
  <si>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</si>
  <si>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</si>
  <si>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</si>
  <si>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</si>
  <si>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</si>
  <si>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</si>
  <si>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</si>
  <si>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</si>
  <si>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</si>
  <si>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</si>
  <si>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</si>
  <si>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</si>
  <si>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</si>
  <si>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</si>
  <si>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</si>
  <si>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</si>
  <si>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</si>
  <si>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</si>
  <si>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</si>
  <si>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</si>
  <si>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</si>
  <si>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</si>
  <si>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</si>
  <si>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</si>
  <si>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</si>
  <si>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</si>
  <si>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</si>
  <si>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</si>
  <si>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</si>
  <si>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</si>
  <si>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</si>
  <si>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</si>
  <si>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</si>
  <si>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</si>
  <si>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</si>
  <si>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</si>
  <si>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</si>
  <si>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</si>
  <si>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</si>
  <si>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</si>
  <si>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</si>
  <si>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</si>
  <si>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</si>
  <si>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</si>
  <si>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</si>
  <si>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</si>
  <si>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</si>
  <si>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</si>
  <si>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</si>
  <si>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</si>
  <si>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</si>
  <si>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</si>
  <si>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</si>
  <si>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</si>
  <si>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</si>
  <si>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</si>
  <si>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</si>
  <si>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</si>
  <si>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</si>
  <si>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</si>
  <si>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</si>
  <si>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</si>
  <si>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</si>
  <si>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</si>
  <si>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</si>
  <si>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</si>
  <si>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</si>
  <si>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</si>
  <si>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</si>
  <si>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</si>
  <si>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</si>
  <si>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</si>
  <si>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</si>
  <si>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</si>
  <si>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</si>
  <si>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</si>
  <si>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</si>
  <si>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</si>
  <si>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</si>
  <si>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</si>
  <si>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</si>
  <si>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</si>
  <si>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</si>
  <si>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</si>
  <si>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</si>
  <si>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</si>
  <si>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</si>
  <si>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</si>
  <si>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</si>
  <si>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</si>
  <si>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</si>
  <si>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</si>
  <si>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</si>
  <si>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</si>
  <si>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</si>
  <si>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</si>
  <si>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</si>
  <si>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</si>
  <si>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</si>
  <si>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</si>
  <si>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</si>
  <si>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</si>
  <si>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</si>
  <si>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</si>
  <si>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</si>
  <si>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</si>
  <si>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</si>
  <si>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</si>
  <si>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</si>
  <si>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</si>
  <si>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</si>
  <si>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</si>
  <si>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</si>
  <si>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</si>
  <si>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</si>
  <si>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</si>
  <si>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</si>
  <si>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</si>
  <si>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</si>
  <si>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</si>
  <si>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</si>
  <si>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</si>
  <si>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</si>
  <si>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</si>
  <si>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</si>
  <si>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</si>
  <si>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</si>
  <si>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</si>
  <si>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</si>
  <si>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</si>
  <si>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</si>
  <si>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</si>
  <si>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</si>
  <si>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</si>
  <si>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</si>
  <si>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</si>
  <si>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</si>
  <si>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</si>
  <si>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</si>
  <si>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</si>
  <si>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</si>
  <si>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</si>
  <si>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</si>
  <si>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</si>
  <si>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</si>
  <si>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</si>
  <si>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</si>
  <si>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</si>
  <si>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</si>
  <si>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</si>
  <si>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</si>
  <si>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</si>
  <si>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</si>
  <si>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</si>
  <si>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</si>
  <si>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</si>
  <si>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</si>
  <si>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</si>
  <si>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</si>
  <si>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</si>
  <si>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</si>
  <si>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</si>
  <si>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</si>
  <si>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</si>
  <si>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</si>
  <si>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</si>
  <si>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</si>
  <si>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</si>
  <si>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</si>
  <si>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</si>
  <si>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</si>
  <si>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</si>
  <si>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</si>
  <si>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</si>
  <si>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</si>
  <si>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</si>
  <si>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</si>
  <si>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</si>
  <si>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</si>
  <si>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</si>
  <si>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</si>
  <si>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</si>
  <si>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</si>
  <si>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</si>
  <si>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</si>
  <si>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</si>
  <si>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</si>
  <si>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</si>
  <si>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</si>
  <si>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</si>
  <si>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</si>
  <si>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</si>
  <si>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</si>
  <si>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</si>
  <si>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</si>
  <si>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</si>
  <si>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</si>
  <si>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</si>
  <si>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</si>
  <si>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</si>
  <si>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</si>
  <si>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</si>
  <si>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</si>
  <si>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</si>
  <si>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</si>
  <si>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</si>
  <si>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</si>
  <si>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</si>
  <si>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</si>
  <si>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</si>
  <si>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</si>
  <si>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</si>
  <si>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</si>
  <si>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</si>
  <si>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</si>
  <si>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</si>
  <si>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</si>
  <si>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</si>
  <si>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</si>
  <si>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</si>
  <si>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</si>
  <si>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</si>
  <si>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</si>
  <si>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</si>
  <si>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</si>
  <si>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</si>
  <si>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</si>
  <si>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</si>
  <si>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</si>
  <si>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</si>
  <si>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</si>
  <si>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</si>
  <si>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</si>
  <si>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</si>
  <si>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</si>
  <si>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</si>
  <si>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</si>
  <si>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</si>
  <si>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</si>
  <si>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</si>
  <si>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</si>
  <si>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</si>
  <si>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</si>
  <si>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</si>
  <si>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</si>
  <si>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</si>
  <si>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</si>
  <si>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</si>
  <si>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</si>
  <si>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</si>
  <si>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</si>
  <si>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</si>
  <si>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</si>
  <si>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</si>
  <si>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</si>
  <si>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</si>
  <si>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</si>
  <si>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</si>
  <si>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</si>
  <si>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</si>
  <si>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</si>
  <si>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</si>
  <si>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</si>
  <si>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</si>
  <si>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</si>
  <si>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</si>
  <si>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</si>
  <si>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</si>
  <si>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</si>
  <si>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</si>
  <si>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</si>
  <si>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</si>
  <si>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</si>
  <si>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</si>
  <si>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</si>
  <si>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</si>
  <si>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</si>
  <si>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</si>
  <si>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</si>
  <si>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</si>
  <si>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</si>
  <si>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</si>
  <si>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</si>
  <si>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</si>
  <si>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</si>
  <si>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</si>
  <si>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</si>
  <si>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</si>
  <si>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</si>
  <si>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</si>
  <si>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</si>
  <si>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</si>
  <si>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</si>
  <si>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</si>
  <si>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</si>
  <si>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</si>
  <si>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</si>
  <si>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</si>
  <si>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</si>
  <si>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</si>
  <si>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</si>
  <si>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</si>
  <si>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</si>
  <si>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</si>
  <si>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</si>
  <si>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</si>
  <si>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</si>
  <si>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</si>
  <si>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</si>
  <si>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</si>
  <si>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</si>
  <si>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</si>
  <si>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</si>
  <si>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</si>
  <si>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</si>
  <si>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</si>
  <si>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</si>
  <si>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</si>
  <si>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</si>
  <si>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</si>
  <si>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</si>
  <si>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</si>
  <si>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</si>
  <si>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</si>
  <si>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</si>
  <si>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</si>
  <si>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</si>
  <si>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</si>
  <si>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</si>
  <si>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</si>
  <si>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</si>
  <si>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</si>
  <si>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</si>
  <si>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</si>
  <si>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</si>
  <si>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</si>
  <si>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</si>
  <si>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</si>
  <si>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</si>
  <si>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</si>
  <si>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</si>
  <si>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</si>
  <si>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</si>
  <si>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</si>
  <si>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</si>
  <si>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</si>
  <si>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</si>
  <si>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</si>
  <si>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</si>
  <si>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</si>
  <si>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</si>
  <si>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</si>
  <si>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</si>
  <si>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</si>
  <si>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</si>
  <si>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</si>
  <si>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</si>
  <si>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</si>
  <si>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</si>
  <si>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</si>
  <si>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</si>
  <si>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</si>
  <si>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</si>
  <si>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</si>
  <si>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</si>
  <si>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</si>
  <si>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</si>
  <si>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</si>
  <si>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</si>
  <si>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</si>
  <si>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</si>
  <si>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</si>
  <si>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</si>
  <si>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</si>
  <si>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</si>
  <si>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</si>
  <si>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</si>
  <si>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</si>
  <si>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</si>
  <si>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</si>
  <si>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</si>
  <si>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</si>
  <si>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</si>
  <si>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</si>
  <si>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</si>
  <si>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</si>
  <si>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</si>
  <si>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</si>
  <si>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</si>
  <si>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</si>
  <si>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</si>
  <si>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</si>
  <si>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</si>
  <si>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</si>
  <si>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</si>
  <si>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</si>
  <si>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</si>
  <si>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</si>
  <si>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</si>
  <si>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</si>
  <si>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</si>
  <si>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</si>
  <si>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</si>
  <si>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</si>
  <si>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</si>
  <si>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</si>
  <si>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</si>
  <si>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</si>
  <si>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</si>
  <si>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</si>
  <si>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</si>
  <si>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</si>
  <si>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</si>
  <si>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</si>
  <si>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</si>
  <si>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</si>
  <si>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</si>
  <si>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</si>
  <si>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</si>
  <si>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</si>
  <si>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</si>
  <si>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</si>
  <si>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</si>
  <si>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</si>
  <si>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</si>
  <si>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</si>
  <si>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</si>
  <si>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</si>
  <si>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</si>
  <si>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</si>
  <si>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</si>
  <si>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</si>
  <si>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</si>
  <si>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</si>
  <si>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</si>
  <si>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</si>
  <si>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</si>
  <si>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</si>
  <si>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</si>
  <si>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</si>
  <si>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</si>
  <si>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</si>
  <si>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</si>
  <si>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</si>
  <si>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</si>
  <si>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</si>
  <si>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</si>
  <si>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</si>
  <si>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</si>
  <si>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</si>
  <si>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</si>
  <si>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</si>
  <si>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</si>
  <si>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</si>
  <si>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</si>
  <si>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</si>
  <si>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</si>
  <si>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</si>
  <si>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</si>
  <si>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</si>
  <si>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</si>
  <si>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</si>
  <si>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</si>
  <si>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</si>
  <si>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</si>
  <si>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</si>
  <si>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</si>
  <si>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</si>
  <si>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</si>
  <si>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</si>
  <si>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</si>
  <si>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</si>
  <si>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</si>
  <si>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</si>
  <si>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</si>
  <si>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</si>
  <si>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</si>
  <si>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</si>
  <si>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</si>
  <si>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</si>
  <si>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</si>
  <si>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</si>
  <si>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</si>
  <si>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</si>
  <si>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</si>
  <si>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</si>
  <si>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</si>
  <si>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</si>
  <si>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</si>
  <si>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</si>
  <si>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</si>
  <si>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</si>
  <si>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</si>
  <si>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</si>
  <si>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</si>
  <si>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</si>
  <si>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</si>
  <si>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</si>
  <si>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</si>
  <si>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</si>
  <si>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</si>
  <si>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</si>
  <si>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</si>
  <si>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</si>
  <si>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</si>
  <si>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</si>
  <si>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</si>
  <si>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</si>
  <si>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</si>
  <si>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</si>
  <si>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</si>
  <si>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</si>
  <si>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</si>
  <si>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</si>
  <si>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</si>
  <si>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</si>
  <si>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</si>
  <si>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</si>
  <si>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</si>
  <si>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</si>
  <si>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</si>
  <si>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</si>
  <si>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</si>
  <si>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</si>
  <si>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</si>
  <si>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</si>
  <si>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</si>
  <si>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</si>
  <si>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</si>
  <si>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</si>
  <si>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</si>
  <si>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</si>
  <si>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</si>
  <si>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</si>
  <si>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</si>
  <si>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</si>
  <si>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</si>
  <si>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</si>
  <si>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</si>
  <si>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</si>
  <si>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</si>
  <si>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</si>
  <si>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</si>
  <si>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</si>
  <si>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</si>
  <si>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</si>
  <si>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</si>
  <si>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</si>
  <si>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</si>
  <si>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</si>
  <si>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</si>
  <si>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</si>
  <si>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</si>
  <si>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</si>
  <si>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</si>
  <si>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</si>
  <si>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</si>
  <si>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</si>
  <si>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</si>
  <si>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</si>
  <si>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</si>
  <si>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</si>
  <si>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</si>
  <si>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</si>
  <si>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</si>
  <si>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</si>
  <si>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</si>
  <si>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</si>
  <si>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</si>
  <si>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</si>
  <si>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</si>
  <si>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</si>
  <si>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</si>
  <si>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</si>
  <si>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</si>
  <si>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</si>
  <si>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</si>
  <si>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</si>
  <si>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</si>
  <si>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</si>
  <si>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</si>
  <si>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</si>
  <si>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</si>
  <si>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</si>
  <si>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</si>
  <si>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</si>
  <si>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</si>
  <si>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</si>
  <si>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</si>
  <si>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</si>
  <si>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</si>
  <si>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</si>
  <si>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</si>
  <si>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</si>
  <si>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</si>
  <si>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</si>
  <si>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</si>
  <si>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</si>
  <si>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</si>
  <si>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</si>
  <si>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</si>
  <si>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</si>
  <si>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</si>
  <si>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</si>
  <si>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</si>
  <si>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</si>
  <si>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</si>
  <si>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</si>
  <si>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</si>
  <si>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</si>
  <si>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</si>
  <si>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</si>
  <si>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</si>
  <si>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</si>
  <si>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</si>
  <si>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</si>
  <si>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</si>
  <si>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</si>
  <si>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</si>
  <si>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</si>
  <si>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</si>
  <si>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</si>
  <si>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</si>
  <si>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</si>
  <si>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</si>
  <si>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</si>
  <si>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</si>
  <si>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</si>
  <si>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</si>
  <si>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</si>
  <si>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</si>
  <si>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</si>
  <si>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</si>
  <si>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</si>
  <si>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</si>
  <si>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</si>
  <si>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</si>
  <si>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</si>
  <si>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</si>
  <si>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</si>
  <si>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</si>
  <si>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</si>
  <si>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</si>
  <si>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</si>
  <si>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</si>
  <si>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</si>
  <si>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</si>
  <si>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</si>
  <si>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</si>
  <si>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</si>
  <si>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</si>
  <si>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</si>
  <si>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</si>
  <si>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</si>
  <si>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</si>
  <si>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</si>
  <si>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</si>
  <si>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</si>
  <si>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</si>
  <si>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</si>
  <si>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</si>
  <si>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</si>
  <si>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</si>
  <si>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</si>
  <si>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</si>
  <si>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</si>
  <si>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</si>
  <si>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</si>
  <si>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</si>
  <si>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</si>
  <si>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</si>
  <si>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</si>
  <si>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</si>
  <si>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</si>
  <si>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</si>
  <si>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</si>
  <si>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</si>
  <si>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</si>
  <si>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</si>
  <si>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</si>
  <si>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</si>
  <si>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</si>
  <si>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</si>
  <si>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</si>
  <si>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</si>
  <si>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</si>
  <si>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</si>
  <si>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</si>
  <si>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</si>
  <si>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</si>
  <si>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</si>
  <si>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</si>
  <si>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</si>
  <si>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</si>
  <si>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</si>
  <si>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</si>
  <si>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</si>
  <si>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</si>
  <si>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</si>
  <si>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</si>
  <si>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</si>
  <si>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</si>
  <si>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</si>
  <si>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</si>
  <si>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</si>
  <si>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</si>
  <si>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</si>
  <si>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</si>
  <si>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</si>
  <si>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</si>
  <si>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</si>
  <si>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</si>
  <si>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</si>
  <si>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</si>
  <si>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</si>
  <si>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</si>
  <si>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</si>
  <si>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</si>
  <si>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</si>
  <si>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</si>
  <si>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</si>
  <si>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</si>
  <si>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</si>
  <si>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</si>
  <si>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</si>
  <si>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</si>
  <si>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</si>
  <si>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</si>
  <si>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</si>
  <si>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</si>
  <si>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</si>
  <si>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</si>
  <si>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</si>
  <si>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</si>
  <si>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</si>
  <si>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</si>
  <si>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</si>
  <si>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</si>
  <si>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</si>
  <si>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</si>
  <si>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</si>
  <si>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</si>
  <si>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</si>
  <si>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</si>
  <si>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</si>
  <si>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</si>
  <si>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</si>
  <si>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</si>
  <si>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</si>
  <si>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</si>
  <si>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</si>
  <si>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</si>
  <si>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</si>
  <si>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</si>
  <si>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</si>
  <si>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</si>
  <si>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</si>
  <si>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</si>
  <si>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</si>
  <si>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</si>
  <si>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</si>
  <si>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</si>
  <si>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</si>
  <si>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</si>
  <si>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</si>
  <si>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</si>
  <si>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</si>
  <si>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</si>
  <si>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</si>
  <si>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</si>
  <si>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</si>
  <si>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</si>
  <si>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</si>
  <si>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</si>
  <si>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</si>
  <si>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</si>
  <si>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</si>
  <si>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</si>
  <si>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</si>
  <si>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</si>
  <si>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</si>
  <si>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</si>
  <si>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</si>
  <si>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</si>
  <si>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</si>
  <si>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</si>
  <si>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</si>
  <si>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</si>
  <si>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</si>
  <si>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</si>
  <si>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</si>
  <si>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</si>
  <si>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</si>
  <si>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</si>
  <si>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</si>
  <si>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</si>
  <si>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</si>
  <si>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</si>
  <si>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</si>
  <si>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</si>
  <si>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</si>
  <si>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</si>
  <si>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</si>
  <si>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</si>
  <si>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</si>
  <si>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</si>
  <si>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</si>
  <si>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</si>
  <si>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</si>
  <si>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</si>
  <si>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</si>
  <si>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</si>
  <si>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</si>
  <si>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</si>
  <si>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</si>
  <si>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</si>
  <si>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</si>
  <si>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</si>
  <si>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</si>
  <si>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</si>
  <si>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</si>
  <si>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</si>
  <si>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</si>
  <si>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</si>
  <si>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</si>
  <si>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</si>
  <si>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</si>
  <si>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</si>
  <si>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</si>
  <si>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</si>
  <si>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</si>
  <si>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</si>
  <si>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</si>
  <si>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</si>
  <si>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</si>
  <si>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</si>
  <si>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</si>
  <si>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</si>
  <si>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</si>
  <si>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</si>
  <si>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</si>
  <si>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</si>
  <si>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</si>
  <si>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</si>
  <si>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</si>
  <si>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</si>
  <si>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</si>
  <si>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</si>
  <si>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</si>
  <si>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</si>
  <si>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</si>
  <si>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</si>
  <si>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</si>
  <si>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</si>
  <si>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</si>
  <si>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</si>
  <si>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</si>
  <si>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</si>
  <si>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</si>
  <si>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</si>
  <si>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</si>
  <si>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</si>
  <si>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</si>
  <si>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</si>
  <si>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</si>
  <si>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</si>
  <si>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</si>
  <si>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</si>
  <si>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</si>
  <si>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</si>
  <si>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</si>
  <si>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</si>
  <si>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</si>
  <si>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</si>
  <si>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</si>
  <si>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</si>
  <si>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</si>
  <si>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</si>
  <si>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</si>
  <si>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</si>
  <si>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</si>
  <si>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</si>
  <si>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</si>
  <si>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</si>
  <si>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</si>
  <si>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</si>
  <si>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</si>
  <si>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</si>
  <si>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</si>
  <si>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</si>
  <si>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</si>
  <si>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</si>
  <si>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</si>
  <si>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</si>
  <si>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</si>
  <si>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</si>
  <si>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</si>
  <si>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</si>
  <si>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</si>
  <si>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</si>
  <si>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</si>
  <si>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</si>
  <si>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</si>
  <si>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</si>
  <si>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</si>
  <si>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</si>
  <si>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</si>
  <si>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</si>
  <si>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</si>
  <si>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</si>
  <si>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</si>
  <si>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</si>
  <si>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</si>
  <si>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</si>
  <si>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</si>
  <si>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</si>
  <si>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</si>
  <si>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</si>
  <si>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</si>
  <si>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</si>
  <si>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</si>
  <si>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</si>
  <si>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</si>
  <si>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</si>
  <si>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</si>
  <si>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</si>
  <si>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</si>
  <si>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</si>
  <si>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</si>
  <si>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</si>
  <si>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</si>
  <si>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</si>
  <si>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</si>
  <si>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</si>
  <si>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</si>
  <si>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</si>
  <si>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</si>
  <si>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</si>
  <si>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</si>
  <si>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</si>
  <si>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</si>
  <si>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</si>
  <si>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</si>
  <si>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</si>
  <si>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</si>
  <si>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</si>
  <si>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</si>
  <si>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</si>
  <si>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</si>
  <si>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</si>
  <si>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</si>
  <si>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</si>
  <si>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</si>
  <si>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</si>
  <si>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</si>
  <si>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</si>
  <si>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</si>
  <si>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</si>
  <si>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</si>
  <si>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</si>
  <si>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</si>
  <si>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</si>
  <si>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</si>
  <si>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</si>
  <si>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</si>
  <si>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</si>
  <si>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</si>
  <si>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</si>
  <si>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</si>
  <si>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</si>
  <si>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</si>
  <si>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</si>
  <si>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</si>
  <si>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</si>
  <si>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</si>
  <si>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</si>
  <si>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</si>
  <si>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</si>
  <si>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</si>
  <si>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</si>
  <si>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</si>
  <si>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</si>
  <si>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</si>
  <si>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</si>
  <si>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</si>
  <si>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</si>
  <si>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</si>
  <si>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</si>
  <si>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</si>
  <si>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</si>
  <si>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</si>
  <si>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</si>
  <si>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</si>
  <si>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</si>
  <si>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</si>
  <si>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</si>
  <si>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</si>
  <si>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</si>
  <si>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</si>
  <si>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</si>
  <si>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</si>
  <si>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</si>
  <si>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</si>
  <si>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</si>
  <si>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</si>
  <si>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</si>
  <si>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</si>
  <si>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</si>
  <si>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</si>
  <si>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</si>
  <si>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</si>
  <si>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</si>
  <si>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</si>
  <si>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</si>
  <si>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</si>
  <si>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</si>
  <si>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</si>
  <si>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</si>
  <si>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</si>
  <si>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</si>
  <si>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</si>
  <si>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</si>
  <si>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</si>
  <si>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</si>
  <si>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</si>
  <si>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</si>
  <si>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</si>
  <si>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</si>
  <si>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</si>
  <si>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</si>
  <si>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</si>
  <si>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</si>
  <si>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</si>
  <si>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</si>
  <si>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</si>
  <si>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</si>
  <si>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</si>
  <si>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</si>
  <si>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</si>
  <si>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</si>
  <si>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</si>
  <si>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</si>
  <si>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</si>
  <si>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</si>
  <si>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</si>
  <si>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</si>
  <si>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</si>
  <si>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</si>
  <si>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</si>
  <si>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</si>
  <si>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</si>
  <si>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</si>
  <si>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</si>
  <si>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</si>
  <si>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</si>
  <si>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</si>
  <si>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</si>
  <si>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</si>
  <si>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</si>
  <si>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</si>
  <si>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</si>
  <si>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</si>
  <si>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</si>
  <si>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</si>
  <si>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</si>
  <si>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</si>
  <si>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</si>
  <si>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</si>
  <si>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</si>
  <si>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</si>
  <si>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</si>
  <si>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</si>
  <si>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</si>
  <si>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</si>
  <si>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</si>
  <si>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</si>
  <si>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</si>
  <si>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</si>
  <si>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</si>
  <si>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</si>
  <si>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</si>
  <si>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</si>
  <si>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</si>
  <si>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</si>
  <si>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</si>
  <si>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</si>
  <si>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</si>
  <si>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</si>
  <si>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</si>
  <si>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</si>
  <si>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</si>
  <si>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</si>
  <si>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</si>
  <si>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</si>
  <si>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</si>
  <si>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</si>
  <si>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</si>
  <si>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</si>
  <si>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</si>
  <si>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</si>
  <si>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</si>
  <si>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</si>
  <si>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</si>
  <si>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</si>
  <si>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</si>
  <si>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</si>
  <si>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</si>
  <si>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</si>
  <si>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</si>
  <si>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</si>
  <si>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</si>
  <si>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</si>
  <si>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</si>
  <si>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</si>
  <si>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</si>
  <si>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</si>
  <si>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</si>
  <si>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</si>
  <si>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</si>
  <si>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</si>
  <si>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</si>
  <si>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</si>
  <si>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</si>
  <si>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</si>
  <si>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</si>
  <si>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</si>
  <si>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</si>
  <si>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</si>
  <si>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</si>
  <si>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</si>
  <si>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</si>
  <si>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</si>
  <si>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</si>
  <si>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</si>
  <si>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</si>
  <si>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</si>
  <si>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</si>
  <si>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</si>
  <si>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</si>
  <si>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</si>
  <si>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</si>
  <si>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</si>
  <si>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</si>
  <si>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</si>
  <si>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</si>
  <si>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</si>
  <si>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</si>
  <si>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</si>
  <si>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</si>
  <si>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</si>
  <si>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</si>
  <si>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</si>
  <si>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</si>
  <si>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</si>
  <si>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</si>
  <si>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</si>
  <si>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</si>
  <si>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</si>
  <si>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</si>
  <si>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</si>
  <si>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</si>
  <si>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</si>
  <si>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</si>
  <si>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</si>
  <si>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</si>
  <si>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</si>
  <si>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</si>
  <si>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</si>
  <si>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</si>
  <si>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</si>
  <si>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</si>
  <si>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</si>
  <si>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</si>
  <si>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</si>
  <si>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</si>
  <si>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</si>
  <si>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</si>
  <si>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</si>
  <si>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</si>
  <si>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</si>
  <si>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</si>
  <si>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</si>
  <si>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</si>
  <si>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</si>
  <si>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</si>
  <si>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</si>
  <si>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</si>
  <si>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</si>
  <si>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</si>
  <si>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</si>
  <si>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</si>
  <si>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</si>
  <si>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</si>
  <si>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</si>
  <si>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</si>
  <si>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</si>
  <si>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</si>
  <si>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</si>
  <si>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</si>
  <si>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</si>
  <si>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</si>
  <si>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</si>
  <si>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</si>
  <si>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</si>
  <si>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</si>
  <si>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</si>
  <si>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</si>
  <si>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</si>
  <si>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</si>
  <si>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</si>
  <si>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</si>
  <si>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</si>
  <si>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</si>
  <si>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</si>
  <si>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</si>
  <si>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</si>
  <si>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</si>
  <si>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</si>
  <si>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</si>
  <si>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</si>
  <si>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</si>
  <si>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</si>
  <si>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</si>
  <si>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</si>
  <si>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</si>
  <si>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</si>
  <si>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</si>
  <si>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</si>
  <si>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</si>
  <si>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</si>
  <si>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</si>
  <si>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</si>
  <si>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</si>
  <si>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</si>
  <si>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</si>
  <si>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</si>
  <si>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</si>
  <si>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</si>
  <si>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</si>
  <si>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</si>
  <si>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</si>
  <si>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</si>
  <si>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</si>
  <si>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</si>
  <si>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</si>
  <si>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</si>
  <si>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</si>
  <si>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</si>
  <si>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</si>
  <si>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</si>
  <si>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</si>
  <si>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</si>
  <si>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</si>
  <si>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</si>
  <si>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</si>
  <si>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</si>
  <si>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</si>
  <si>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</si>
  <si>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</si>
  <si>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</si>
  <si>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</si>
  <si>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</si>
  <si>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</si>
  <si>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</si>
  <si>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</si>
  <si>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</si>
  <si>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</si>
  <si>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</si>
  <si>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</si>
  <si>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</si>
  <si>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</si>
  <si>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</si>
  <si>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</si>
  <si>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</si>
  <si>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</si>
  <si>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</si>
  <si>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</si>
  <si>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</si>
  <si>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</si>
  <si>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</si>
  <si>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</si>
  <si>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</si>
  <si>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</si>
  <si>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</si>
  <si>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</si>
  <si>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</si>
  <si>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</si>
  <si>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</si>
  <si>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</si>
  <si>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</si>
  <si>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</si>
  <si>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</si>
  <si>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</si>
  <si>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</si>
  <si>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</si>
  <si>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</si>
  <si>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</si>
  <si>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</si>
  <si>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</si>
  <si>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</si>
  <si>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</si>
  <si>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</si>
  <si>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</si>
  <si>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</si>
  <si>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</si>
  <si>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</si>
  <si>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</si>
  <si>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</si>
  <si>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</si>
  <si>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</si>
  <si>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</si>
  <si>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</si>
  <si>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</si>
  <si>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</si>
  <si>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</si>
  <si>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</si>
  <si>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</si>
  <si>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</si>
  <si>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</si>
  <si>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</si>
  <si>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</si>
  <si>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</si>
  <si>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</si>
  <si>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</si>
  <si>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</si>
  <si>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</si>
  <si>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</si>
  <si>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</si>
  <si>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</si>
  <si>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</si>
  <si>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</si>
  <si>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</si>
  <si>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</si>
  <si>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</si>
  <si>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</si>
  <si>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</si>
  <si>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</si>
  <si>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</si>
  <si>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</si>
  <si>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</si>
  <si>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</si>
  <si>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</si>
  <si>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</si>
  <si>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</si>
  <si>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</si>
  <si>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</si>
  <si>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</si>
  <si>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</si>
  <si>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</si>
  <si>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</si>
  <si>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</si>
  <si>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</si>
  <si>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</si>
  <si>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</si>
  <si>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</si>
  <si>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</si>
  <si>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</si>
  <si>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</si>
  <si>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</si>
  <si>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</si>
  <si>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</si>
  <si>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</si>
  <si>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</si>
  <si>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</si>
  <si>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</si>
  <si>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</si>
  <si>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</si>
  <si>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</si>
  <si>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</si>
  <si>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</si>
  <si>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</si>
  <si>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</si>
  <si>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</si>
  <si>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</si>
  <si>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</si>
  <si>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</si>
  <si>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</si>
  <si>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</si>
  <si>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</si>
  <si>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</si>
  <si>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</si>
  <si>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</si>
  <si>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</si>
  <si>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</si>
  <si>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</si>
  <si>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</si>
  <si>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</si>
  <si>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</si>
  <si>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</si>
  <si>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</si>
  <si>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</si>
  <si>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</si>
  <si>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</si>
  <si>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</si>
  <si>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</si>
  <si>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</si>
  <si>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</si>
  <si>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</si>
  <si>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</si>
  <si>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</si>
  <si>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</si>
  <si>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</si>
  <si>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</si>
  <si>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</si>
  <si>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</si>
  <si>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</si>
  <si>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</si>
  <si>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</si>
  <si>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</si>
  <si>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</si>
  <si>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</si>
  <si>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</si>
  <si>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</si>
  <si>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</si>
  <si>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</si>
  <si>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</si>
  <si>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</si>
  <si>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</si>
  <si>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</si>
  <si>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</si>
  <si>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</si>
  <si>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</si>
  <si>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</si>
  <si>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</si>
  <si>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</si>
  <si>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</si>
  <si>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</si>
  <si>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</si>
  <si>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</si>
  <si>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</si>
  <si>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</si>
  <si>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</si>
  <si>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</si>
  <si>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</si>
  <si>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</si>
  <si>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</si>
  <si>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</si>
  <si>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</si>
  <si>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</si>
  <si>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</si>
  <si>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</si>
  <si>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</si>
  <si>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</si>
  <si>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</si>
  <si>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</si>
  <si>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</si>
  <si>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</si>
  <si>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</si>
  <si>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</si>
  <si>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</si>
  <si>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</si>
  <si>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</si>
  <si>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</si>
  <si>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</si>
  <si>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</si>
  <si>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</si>
  <si>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</si>
  <si>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</si>
  <si>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</si>
  <si>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</si>
  <si>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</si>
  <si>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</si>
  <si>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</si>
  <si>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</si>
  <si>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</si>
  <si>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</si>
  <si>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</si>
  <si>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</si>
  <si>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</si>
  <si>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</si>
  <si>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</si>
  <si>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</si>
  <si>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</si>
  <si>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</si>
  <si>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</si>
  <si>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</si>
  <si>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</si>
  <si>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</si>
  <si>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</si>
  <si>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</si>
  <si>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</si>
  <si>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</si>
  <si>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</si>
  <si>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</si>
  <si>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</si>
  <si>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</si>
  <si>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</si>
  <si>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</si>
  <si>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</si>
  <si>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</si>
  <si>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</si>
  <si>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</si>
  <si>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</si>
  <si>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</si>
  <si>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</si>
  <si>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</si>
  <si>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</si>
  <si>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</si>
  <si>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</si>
  <si>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</si>
  <si>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</si>
  <si>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</si>
  <si>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</si>
  <si>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</si>
  <si>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</si>
  <si>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</si>
  <si>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</si>
  <si>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</si>
  <si>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</si>
  <si>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</si>
  <si>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</si>
  <si>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</si>
  <si>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</si>
  <si>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</si>
  <si>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</si>
  <si>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</si>
  <si>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</si>
  <si>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</si>
  <si>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</si>
  <si>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</si>
  <si>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</si>
  <si>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</si>
  <si>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</si>
  <si>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</si>
  <si>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</si>
  <si>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</si>
  <si>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</si>
  <si>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</si>
  <si>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</si>
  <si>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</si>
  <si>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</si>
  <si>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</si>
  <si>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</si>
  <si>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</si>
  <si>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</si>
  <si>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</si>
  <si>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</si>
  <si>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</si>
  <si>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</si>
  <si>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</si>
  <si>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</si>
  <si>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</si>
  <si>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</si>
  <si>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</si>
  <si>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</si>
  <si>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</si>
  <si>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</si>
  <si>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</si>
  <si>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</si>
  <si>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</si>
  <si>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</si>
  <si>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</si>
  <si>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</si>
  <si>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</si>
  <si>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</si>
  <si>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</si>
  <si>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</si>
  <si>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</si>
  <si>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</si>
  <si>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</si>
  <si>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</si>
  <si>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</si>
  <si>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</si>
  <si>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</si>
  <si>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</si>
  <si>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</si>
  <si>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</si>
  <si>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</si>
  <si>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</si>
  <si>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</si>
  <si>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</si>
  <si>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</si>
  <si>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</si>
  <si>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</si>
  <si>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</si>
  <si>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</si>
  <si>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</si>
  <si>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</si>
  <si>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</si>
  <si>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</si>
  <si>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</si>
  <si>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</si>
  <si>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</si>
  <si>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</si>
  <si>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</si>
  <si>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</si>
  <si>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</si>
  <si>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</si>
  <si>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</si>
  <si>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</si>
  <si>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</si>
  <si>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</si>
  <si>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</si>
  <si>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</si>
  <si>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</si>
  <si>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</si>
  <si>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</si>
  <si>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</si>
  <si>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</si>
  <si>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</si>
  <si>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</si>
  <si>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</si>
  <si>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</si>
  <si>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</si>
  <si>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</si>
  <si>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</si>
  <si>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</si>
  <si>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</si>
  <si>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</si>
  <si>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</si>
  <si>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</si>
  <si>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</si>
  <si>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</si>
  <si>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</si>
  <si>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</si>
  <si>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</si>
  <si>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</si>
  <si>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</si>
  <si>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</si>
  <si>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</si>
  <si>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</si>
  <si>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</si>
  <si>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</si>
  <si>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</si>
  <si>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</si>
  <si>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</si>
  <si>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</si>
  <si>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</si>
  <si>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</si>
  <si>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</si>
  <si>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</si>
  <si>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</si>
  <si>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</si>
  <si>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</si>
  <si>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</si>
  <si>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</si>
  <si>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</si>
  <si>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</si>
  <si>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</si>
  <si>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</si>
  <si>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</si>
  <si>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</si>
  <si>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</si>
  <si>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</si>
  <si>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</si>
  <si>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</si>
  <si>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</si>
  <si>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</si>
  <si>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</si>
  <si>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</si>
  <si>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</si>
  <si>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</si>
  <si>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</si>
  <si>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</si>
  <si>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</si>
  <si>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</si>
  <si>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</si>
  <si>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</si>
  <si>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</si>
  <si>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</si>
  <si>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</si>
  <si>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</si>
  <si>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</si>
  <si>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</si>
  <si>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</si>
  <si>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</si>
  <si>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</si>
  <si>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</si>
  <si>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</si>
  <si>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</si>
  <si>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</si>
  <si>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</si>
  <si>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</si>
  <si>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</si>
  <si>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</si>
  <si>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</si>
  <si>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</si>
  <si>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</si>
  <si>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</si>
  <si>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</si>
  <si>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</si>
  <si>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</si>
  <si>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</si>
  <si>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</si>
  <si>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</si>
  <si>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</si>
  <si>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</si>
  <si>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</si>
  <si>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</si>
  <si>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</si>
  <si>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</si>
  <si>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</si>
  <si>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</si>
  <si>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</si>
  <si>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</si>
  <si>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</si>
  <si>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</si>
  <si>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</si>
  <si>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</si>
  <si>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</si>
  <si>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</si>
  <si>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</si>
  <si>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</si>
  <si>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</si>
  <si>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</si>
  <si>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</si>
  <si>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</si>
  <si>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</si>
  <si>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</si>
  <si>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</si>
  <si>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</si>
  <si>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</si>
  <si>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</si>
  <si>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</si>
  <si>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</si>
  <si>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</si>
  <si>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</si>
  <si>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</si>
  <si>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</si>
  <si>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</si>
  <si>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</si>
  <si>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</si>
  <si>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</si>
  <si>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</si>
  <si>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</si>
  <si>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</si>
  <si>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</si>
  <si>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</si>
  <si>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</si>
  <si>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</si>
  <si>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</si>
  <si>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</si>
  <si>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</si>
  <si>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</si>
  <si>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</si>
  <si>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</si>
  <si>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</si>
  <si>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</si>
  <si>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</si>
  <si>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</si>
  <si>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</si>
  <si>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</si>
  <si>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</si>
  <si>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</si>
  <si>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</si>
  <si>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</si>
  <si>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</si>
  <si>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</si>
  <si>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</si>
  <si>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</si>
  <si>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</si>
  <si>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</si>
  <si>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</si>
  <si>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</si>
  <si>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</si>
  <si>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</si>
  <si>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</si>
  <si>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</si>
  <si>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</si>
  <si>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</si>
  <si>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</si>
  <si>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</si>
  <si>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</si>
  <si>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</si>
  <si>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</si>
  <si>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</si>
  <si>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</si>
  <si>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</si>
  <si>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</si>
  <si>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</si>
  <si>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</si>
  <si>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</si>
  <si>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</si>
  <si>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</si>
  <si>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</si>
  <si>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</si>
  <si>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</si>
  <si>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</si>
  <si>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</si>
  <si>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</si>
  <si>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</si>
  <si>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</si>
  <si>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</si>
  <si>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</si>
  <si>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</si>
  <si>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</si>
  <si>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</si>
  <si>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</si>
  <si>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</si>
  <si>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</si>
  <si>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</si>
  <si>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</si>
  <si>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</si>
  <si>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</si>
  <si>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</si>
  <si>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</si>
  <si>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</si>
  <si>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</si>
  <si>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</si>
  <si>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</si>
  <si>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</si>
  <si>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</si>
  <si>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</si>
  <si>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</si>
  <si>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</si>
  <si>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</si>
  <si>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</si>
  <si>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</si>
  <si>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</si>
  <si>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</si>
  <si>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</si>
  <si>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</si>
  <si>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</si>
  <si>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</si>
  <si>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</si>
  <si>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</si>
  <si>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</si>
  <si>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</si>
  <si>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</si>
  <si>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</si>
  <si>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</si>
  <si>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</si>
  <si>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</si>
  <si>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</si>
  <si>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</si>
  <si>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</si>
  <si>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</si>
  <si>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</si>
  <si>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</si>
  <si>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</si>
  <si>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</si>
  <si>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</si>
  <si>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</si>
  <si>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</si>
  <si>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</si>
  <si>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</si>
  <si>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</si>
  <si>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</si>
  <si>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</si>
  <si>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</si>
  <si>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</si>
  <si>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</si>
  <si>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</si>
  <si>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</si>
  <si>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</si>
  <si>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</si>
  <si>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</si>
  <si>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</si>
  <si>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</si>
  <si>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</si>
  <si>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</si>
  <si>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</si>
  <si>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</si>
  <si>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</si>
  <si>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</si>
  <si>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</si>
  <si>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</si>
  <si>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</si>
  <si>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</si>
  <si>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</si>
  <si>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</si>
  <si>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</si>
  <si>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</si>
  <si>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</si>
  <si>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</si>
  <si>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</si>
  <si>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</si>
  <si>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</si>
  <si>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</si>
  <si>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</si>
  <si>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</si>
  <si>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</si>
  <si>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</si>
  <si>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</si>
  <si>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</si>
  <si>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</si>
  <si>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</si>
  <si>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</si>
  <si>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</si>
  <si>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</si>
  <si>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</si>
  <si>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</si>
  <si>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</si>
  <si>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</si>
  <si>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</si>
  <si>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</si>
  <si>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</si>
  <si>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</si>
  <si>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</si>
  <si>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</si>
  <si>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</si>
  <si>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</si>
  <si>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</si>
  <si>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</si>
  <si>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</si>
  <si>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</si>
  <si>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</si>
  <si>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</si>
  <si>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</si>
  <si>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</si>
  <si>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</si>
  <si>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</si>
  <si>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</si>
  <si>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</si>
  <si>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</si>
  <si>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</si>
  <si>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</si>
  <si>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</si>
  <si>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</si>
  <si>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</si>
  <si>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</si>
  <si>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</si>
  <si>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</si>
  <si>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</si>
  <si>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</si>
  <si>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</si>
  <si>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</si>
  <si>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</si>
  <si>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</si>
  <si>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</si>
  <si>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</si>
  <si>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</si>
  <si>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</si>
  <si>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</si>
  <si>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</si>
  <si>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</si>
  <si>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</si>
  <si>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</si>
  <si>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</si>
  <si>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</si>
  <si>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</si>
  <si>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</si>
  <si>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</si>
  <si>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</si>
  <si>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</si>
  <si>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</si>
  <si>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</si>
  <si>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</si>
  <si>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</si>
  <si>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</si>
  <si>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</si>
  <si>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</si>
  <si>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</si>
  <si>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</si>
  <si>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</si>
  <si>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</si>
  <si>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</si>
  <si>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</si>
  <si>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</si>
  <si>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</si>
  <si>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</si>
  <si>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</si>
  <si>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</si>
  <si>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</si>
  <si>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</si>
  <si>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</si>
  <si>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</si>
  <si>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</si>
  <si>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</si>
  <si>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</si>
  <si>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</si>
  <si>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</si>
  <si>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</si>
  <si>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</si>
  <si>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</si>
  <si>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</si>
  <si>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</si>
  <si>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</si>
  <si>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</si>
  <si>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</si>
  <si>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</si>
  <si>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</si>
  <si>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</si>
  <si>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</si>
  <si>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</si>
  <si>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</si>
  <si>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</si>
  <si>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</si>
  <si>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</si>
  <si>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</si>
  <si>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</si>
  <si>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</si>
  <si>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</si>
  <si>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</si>
  <si>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</si>
  <si>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</si>
  <si>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</si>
  <si>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</si>
  <si>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</si>
  <si>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</si>
  <si>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</si>
  <si>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</si>
  <si>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</si>
  <si>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</si>
  <si>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</si>
  <si>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</si>
  <si>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</si>
  <si>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</si>
  <si>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</si>
  <si>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</si>
  <si>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</si>
  <si>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</si>
  <si>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</si>
  <si>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</si>
  <si>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</si>
  <si>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</si>
  <si>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</si>
  <si>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</si>
  <si>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</si>
  <si>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</si>
  <si>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</si>
  <si>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</si>
  <si>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</si>
  <si>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</si>
  <si>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</si>
  <si>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</si>
  <si>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</si>
  <si>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</si>
  <si>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</si>
  <si>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</si>
  <si>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</si>
  <si>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</si>
  <si>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</si>
  <si>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</si>
  <si>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</si>
  <si>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</si>
  <si>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</si>
  <si>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</si>
  <si>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</si>
  <si>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</si>
  <si>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</si>
  <si>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</si>
  <si>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</si>
  <si>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</si>
  <si>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</si>
  <si>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</si>
  <si>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</si>
  <si>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</si>
  <si>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</si>
  <si>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</si>
  <si>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</si>
  <si>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</si>
  <si>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</si>
  <si>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</si>
  <si>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</si>
  <si>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</si>
  <si>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</si>
  <si>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</si>
  <si>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</si>
  <si>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</si>
  <si>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</si>
  <si>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</si>
  <si>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</si>
  <si>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</si>
  <si>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</si>
  <si>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</si>
  <si>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</si>
  <si>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</si>
  <si>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</si>
  <si>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</si>
  <si>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</si>
  <si>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</si>
  <si>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</si>
  <si>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</si>
  <si>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</si>
  <si>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</si>
  <si>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</si>
  <si>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</si>
  <si>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</si>
  <si>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</si>
  <si>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</si>
  <si>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</si>
  <si>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</si>
  <si>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</si>
  <si>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</si>
  <si>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</si>
  <si>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</si>
  <si>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</si>
  <si>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</si>
  <si>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</si>
  <si>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</si>
  <si>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</si>
  <si>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</si>
  <si>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</si>
  <si>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</si>
  <si>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</si>
  <si>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</si>
  <si>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</si>
  <si>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</si>
  <si>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</si>
  <si>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</si>
  <si>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</si>
  <si>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</si>
  <si>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</si>
  <si>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</si>
  <si>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</si>
  <si>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</si>
  <si>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</si>
  <si>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</si>
  <si>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</si>
  <si>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</si>
  <si>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</si>
  <si>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</si>
  <si>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</si>
  <si>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</si>
  <si>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</si>
  <si>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</si>
  <si>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</si>
  <si>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</si>
  <si>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</si>
  <si>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</si>
  <si>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</si>
  <si>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</si>
  <si>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</si>
  <si>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</si>
  <si>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</si>
  <si>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</si>
  <si>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</si>
  <si>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</si>
  <si>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</si>
  <si>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</si>
  <si>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</si>
  <si>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</si>
  <si>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</si>
  <si>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</si>
  <si>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</si>
  <si>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</si>
  <si>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</si>
  <si>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</si>
  <si>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</si>
  <si>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</si>
  <si>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</si>
  <si>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</si>
  <si>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</si>
  <si>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</si>
  <si>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</si>
  <si>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</si>
  <si>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</si>
  <si>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</si>
  <si>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</si>
  <si>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</si>
  <si>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</si>
  <si>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</si>
  <si>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</si>
  <si>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</si>
  <si>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</si>
  <si>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</si>
  <si>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</si>
  <si>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</si>
  <si>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</si>
  <si>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</si>
  <si>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</si>
  <si>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</si>
  <si>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</si>
  <si>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</si>
  <si>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</si>
  <si>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</si>
  <si>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</si>
  <si>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</si>
  <si>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</si>
  <si>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</si>
  <si>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</si>
  <si>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</si>
  <si>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</si>
  <si>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</si>
  <si>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</si>
  <si>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</si>
  <si>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</si>
  <si>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</si>
  <si>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</si>
  <si>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</si>
  <si>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</si>
  <si>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</si>
  <si>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</si>
  <si>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</si>
  <si>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</si>
  <si>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</si>
  <si>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</si>
  <si>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</si>
  <si>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</si>
  <si>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</si>
  <si>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</si>
  <si>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</si>
  <si>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</si>
  <si>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</si>
  <si>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</si>
  <si>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</si>
  <si>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</si>
  <si>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</si>
  <si>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</si>
  <si>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</si>
  <si>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</si>
  <si>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</si>
  <si>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</si>
  <si>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</si>
  <si>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</si>
  <si>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</si>
  <si>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</si>
  <si>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</si>
  <si>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</si>
  <si>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</si>
  <si>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</si>
  <si>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</si>
  <si>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</si>
  <si>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</si>
  <si>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</si>
  <si>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</si>
  <si>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</si>
  <si>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</si>
  <si>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</si>
  <si>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</si>
  <si>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</si>
  <si>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</si>
  <si>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</si>
  <si>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</si>
  <si>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</si>
  <si>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</si>
  <si>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</si>
  <si>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</si>
  <si>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</si>
  <si>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</si>
  <si>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</si>
  <si>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</si>
  <si>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</si>
  <si>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</si>
  <si>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</si>
  <si>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</si>
  <si>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</si>
  <si>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</si>
  <si>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</si>
  <si>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</si>
  <si>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</si>
  <si>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</si>
  <si>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</si>
  <si>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</si>
  <si>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</si>
  <si>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</si>
  <si>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</si>
  <si>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</si>
  <si>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</si>
  <si>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</si>
  <si>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</si>
  <si>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</si>
  <si>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</si>
  <si>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</si>
  <si>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</si>
  <si>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</si>
  <si>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</si>
  <si>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</si>
  <si>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</si>
  <si>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</si>
  <si>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</si>
  <si>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</si>
  <si>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</si>
  <si>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</si>
  <si>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</si>
  <si>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</si>
  <si>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</si>
  <si>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</si>
  <si>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</si>
  <si>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</si>
  <si>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</si>
  <si>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</si>
  <si>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</si>
  <si>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</si>
  <si>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</si>
  <si>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</si>
  <si>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</si>
  <si>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</si>
  <si>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</si>
  <si>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</si>
  <si>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</si>
  <si>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</si>
  <si>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</si>
  <si>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</si>
  <si>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</si>
  <si>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</si>
  <si>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</si>
  <si>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</si>
  <si>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</si>
  <si>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</si>
  <si>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</si>
  <si>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</si>
  <si>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</si>
  <si>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</si>
  <si>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</si>
  <si>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</si>
  <si>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</si>
  <si>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</si>
  <si>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</si>
  <si>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</si>
  <si>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</si>
  <si>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</si>
  <si>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</si>
  <si>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</si>
  <si>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</si>
  <si>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</si>
  <si>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</si>
  <si>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</si>
  <si>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</si>
  <si>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</si>
  <si>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</si>
  <si>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</si>
  <si>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</si>
  <si>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</si>
  <si>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</si>
  <si>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</si>
  <si>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</si>
  <si>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</si>
  <si>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</si>
  <si>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</si>
  <si>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</si>
  <si>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</si>
  <si>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</si>
  <si>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</si>
  <si>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</si>
  <si>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</si>
  <si>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</si>
  <si>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</si>
  <si>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</si>
  <si>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</si>
  <si>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</si>
  <si>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</si>
  <si>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</si>
  <si>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</si>
  <si>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</si>
  <si>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</si>
  <si>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</si>
  <si>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</si>
  <si>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</si>
  <si>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</si>
  <si>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</si>
  <si>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</si>
  <si>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</si>
  <si>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</si>
  <si>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</si>
  <si>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</si>
  <si>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</si>
  <si>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</si>
  <si>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</si>
  <si>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</si>
  <si>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</si>
  <si>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</si>
  <si>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</si>
  <si>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</si>
  <si>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</si>
  <si>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</si>
  <si>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</si>
  <si>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</si>
  <si>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</si>
  <si>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</si>
  <si>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</si>
  <si>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</si>
  <si>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</si>
  <si>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</si>
  <si>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</si>
  <si>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</si>
  <si>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</si>
  <si>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</si>
  <si>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</si>
  <si>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</si>
  <si>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</si>
  <si>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</si>
  <si>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</si>
  <si>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</si>
  <si>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</si>
  <si>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</si>
  <si>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</si>
  <si>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</si>
  <si>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</si>
  <si>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</si>
  <si>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</si>
  <si>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</si>
  <si>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</si>
  <si>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</si>
  <si>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</si>
  <si>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</si>
  <si>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</si>
  <si>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</si>
  <si>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</si>
  <si>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</si>
  <si>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</si>
  <si>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</si>
  <si>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</si>
  <si>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</si>
  <si>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</si>
  <si>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</si>
  <si>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</si>
  <si>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</si>
  <si>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</si>
  <si>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</si>
  <si>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</si>
  <si>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</si>
  <si>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</si>
  <si>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</si>
  <si>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</si>
  <si>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</si>
  <si>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</si>
  <si>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</si>
  <si>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</si>
  <si>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</si>
  <si>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</si>
  <si>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</si>
  <si>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</si>
  <si>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</si>
  <si>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</si>
  <si>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</si>
  <si>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</si>
  <si>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</si>
  <si>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</si>
  <si>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</si>
  <si>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</si>
  <si>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</si>
  <si>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</si>
  <si>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</si>
  <si>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</si>
  <si>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</si>
  <si>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</si>
  <si>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</si>
  <si>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</si>
  <si>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</si>
  <si>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</si>
  <si>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</si>
  <si>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</si>
  <si>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</si>
  <si>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</si>
  <si>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</si>
  <si>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</si>
  <si>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</si>
  <si>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</si>
  <si>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</si>
  <si>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</si>
  <si>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</si>
  <si>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</si>
  <si>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</si>
  <si>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</si>
  <si>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</si>
  <si>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</si>
  <si>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</si>
  <si>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</si>
  <si>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</si>
  <si>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</si>
  <si>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</si>
  <si>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</si>
  <si>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</si>
  <si>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</si>
  <si>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</si>
  <si>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</si>
  <si>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</si>
  <si>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</si>
  <si>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</si>
  <si>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</si>
  <si>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</si>
  <si>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</si>
  <si>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</si>
  <si>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</si>
  <si>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</si>
  <si>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</si>
  <si>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</si>
  <si>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</si>
  <si>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</si>
  <si>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</si>
  <si>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</si>
  <si>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</si>
  <si>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</si>
  <si>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</si>
  <si>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</si>
  <si>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</si>
  <si>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</si>
  <si>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</si>
  <si>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</si>
  <si>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</si>
  <si>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</si>
  <si>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</si>
  <si>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</si>
  <si>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</si>
  <si>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</si>
  <si>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</si>
  <si>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</si>
  <si>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</si>
  <si>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</si>
  <si>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</si>
  <si>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</si>
  <si>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</si>
  <si>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</si>
  <si>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</si>
  <si>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</si>
  <si>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</si>
  <si>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</si>
  <si>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</si>
  <si>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</si>
  <si>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</si>
  <si>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</si>
  <si>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</si>
  <si>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</si>
  <si>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</si>
  <si>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</si>
  <si>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</si>
  <si>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</si>
  <si>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</si>
  <si>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</si>
  <si>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</si>
  <si>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</si>
  <si>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</si>
  <si>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</si>
  <si>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</si>
  <si>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</si>
  <si>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</si>
  <si>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</si>
  <si>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</si>
  <si>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</si>
  <si>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</si>
  <si>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</si>
  <si>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</si>
  <si>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</si>
  <si>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</si>
  <si>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</si>
  <si>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</si>
  <si>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</si>
  <si>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</si>
  <si>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</si>
  <si>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</si>
  <si>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</si>
  <si>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</si>
  <si>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</si>
  <si>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</si>
  <si>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</si>
  <si>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</si>
  <si>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</si>
  <si>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</si>
  <si>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</si>
  <si>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</si>
  <si>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</si>
  <si>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</si>
  <si>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</si>
  <si>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</si>
  <si>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</si>
  <si>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</si>
  <si>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</si>
  <si>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</si>
  <si>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</si>
  <si>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</si>
  <si>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</si>
  <si>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</si>
  <si>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</si>
  <si>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</si>
  <si>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</si>
  <si>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</si>
  <si>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</si>
  <si>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</si>
  <si>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</si>
  <si>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</si>
  <si>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</si>
  <si>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</si>
  <si>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</si>
  <si>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</si>
  <si>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</si>
  <si>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</si>
  <si>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</si>
  <si>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</si>
  <si>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</si>
  <si>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</si>
  <si>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</si>
  <si>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</si>
  <si>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</si>
  <si>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</si>
  <si>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</si>
  <si>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</si>
  <si>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</si>
  <si>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</si>
  <si>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</si>
  <si>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</si>
  <si>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</si>
  <si>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</si>
  <si>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</si>
  <si>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</si>
  <si>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</si>
  <si>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</si>
  <si>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</si>
  <si>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</si>
  <si>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</si>
  <si>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</si>
  <si>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</si>
  <si>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</si>
  <si>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</si>
  <si>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</si>
  <si>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</si>
  <si>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</si>
  <si>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</si>
  <si>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</si>
  <si>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</si>
  <si>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</si>
  <si>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</si>
  <si>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</si>
  <si>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</si>
  <si>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</si>
  <si>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</si>
  <si>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</si>
  <si>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</si>
  <si>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</si>
  <si>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</si>
  <si>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</si>
  <si>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</si>
  <si>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</si>
  <si>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</si>
  <si>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</si>
  <si>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</si>
  <si>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</si>
  <si>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</si>
  <si>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</si>
  <si>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</si>
  <si>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</si>
  <si>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</si>
  <si>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</si>
  <si>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</si>
  <si>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</si>
  <si>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</si>
  <si>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</si>
  <si>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</si>
  <si>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</si>
  <si>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</si>
  <si>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</si>
  <si>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</si>
  <si>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</si>
  <si>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</si>
  <si>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</si>
  <si>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</si>
  <si>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</si>
  <si>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</si>
  <si>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</si>
  <si>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</si>
  <si>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</si>
  <si>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</si>
  <si>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</si>
  <si>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</si>
  <si>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</si>
  <si>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</si>
  <si>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</si>
  <si>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</si>
  <si>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</si>
  <si>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</si>
  <si>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</si>
  <si>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</si>
  <si>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</si>
  <si>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</si>
  <si>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</si>
  <si>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</si>
  <si>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</si>
  <si>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</si>
  <si>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</si>
  <si>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</si>
  <si>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</si>
  <si>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</si>
  <si>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</si>
  <si>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</si>
  <si>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</si>
  <si>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</si>
  <si>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</si>
  <si>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</si>
  <si>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</si>
  <si>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</si>
  <si>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</si>
  <si>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</si>
  <si>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</si>
  <si>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</si>
  <si>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</si>
  <si>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</si>
  <si>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</si>
  <si>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</si>
  <si>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</si>
  <si>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</si>
  <si>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</si>
  <si>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</si>
  <si>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</si>
  <si>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</si>
  <si>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</si>
  <si>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</si>
  <si>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</si>
  <si>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</si>
  <si>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</si>
  <si>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</si>
  <si>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</si>
  <si>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</si>
  <si>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</si>
  <si>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</si>
  <si>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</si>
  <si>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</si>
  <si>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</si>
  <si>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</si>
  <si>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</si>
  <si>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</si>
  <si>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</si>
  <si>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</si>
  <si>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</si>
  <si>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</si>
  <si>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</si>
  <si>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</si>
  <si>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</si>
  <si>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</si>
  <si>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</si>
  <si>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</si>
  <si>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</si>
  <si>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</si>
  <si>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</si>
  <si>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</si>
  <si>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</si>
  <si>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</si>
  <si>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</si>
  <si>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</si>
  <si>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</si>
  <si>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</si>
  <si>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</si>
  <si>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</si>
  <si>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</si>
  <si>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</si>
  <si>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</si>
  <si>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</si>
  <si>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</si>
  <si>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</si>
  <si>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</si>
  <si>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</si>
  <si>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</si>
  <si>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</si>
  <si>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</si>
  <si>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</si>
  <si>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</si>
  <si>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</si>
  <si>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</si>
  <si>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</si>
  <si>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</si>
  <si>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</si>
  <si>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</si>
  <si>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</si>
  <si>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</si>
  <si>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</si>
  <si>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</si>
  <si>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</si>
  <si>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</si>
  <si>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</si>
  <si>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</si>
  <si>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</si>
  <si>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</si>
  <si>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</si>
  <si>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</si>
  <si>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</si>
  <si>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</si>
  <si>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</si>
  <si>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</si>
  <si>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</si>
  <si>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</si>
  <si>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</si>
  <si>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</si>
  <si>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</si>
  <si>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</si>
  <si>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</si>
  <si>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</si>
  <si>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</si>
  <si>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</si>
  <si>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</si>
  <si>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</si>
  <si>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</si>
  <si>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</si>
  <si>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</si>
  <si>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</si>
  <si>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</si>
  <si>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</si>
  <si>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</si>
  <si>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</si>
  <si>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</si>
  <si>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</si>
  <si>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</si>
  <si>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</si>
  <si>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</si>
  <si>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</si>
  <si>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</si>
  <si>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</si>
  <si>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</si>
  <si>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</si>
  <si>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</si>
  <si>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</si>
  <si>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</si>
  <si>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</si>
  <si>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</si>
  <si>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</si>
  <si>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</si>
  <si>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</si>
  <si>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</si>
  <si>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</si>
  <si>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</si>
  <si>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</si>
  <si>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</si>
  <si>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</si>
  <si>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</si>
  <si>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</si>
  <si>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</si>
  <si>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</si>
  <si>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</si>
  <si>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</si>
  <si>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</si>
  <si>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</si>
  <si>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</si>
  <si>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</si>
  <si>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</si>
  <si>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</si>
  <si>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</si>
  <si>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</si>
  <si>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</si>
  <si>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</si>
  <si>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</si>
  <si>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</si>
  <si>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</si>
  <si>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</si>
  <si>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</si>
  <si>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</si>
  <si>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</si>
  <si>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</si>
  <si>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</si>
  <si>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</si>
  <si>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</si>
  <si>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</si>
  <si>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</si>
  <si>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</si>
  <si>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</si>
  <si>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</si>
  <si>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</si>
  <si>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</si>
  <si>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</si>
  <si>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</si>
  <si>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</si>
  <si>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</si>
  <si>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</si>
  <si>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</si>
  <si>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</si>
  <si>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</si>
  <si>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</si>
  <si>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</si>
  <si>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</si>
  <si>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</si>
  <si>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</si>
  <si>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</si>
  <si>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</si>
  <si>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</si>
  <si>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</si>
  <si>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</si>
  <si>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</si>
  <si>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</si>
  <si>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</si>
  <si>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</si>
  <si>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</si>
  <si>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</si>
  <si>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</si>
  <si>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</si>
  <si>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</si>
  <si>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</si>
  <si>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</si>
  <si>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</si>
  <si>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</si>
  <si>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</si>
  <si>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</si>
  <si>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</si>
  <si>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</si>
  <si>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</si>
  <si>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</si>
  <si>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</si>
  <si>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</si>
  <si>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</si>
  <si>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</si>
  <si>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</si>
  <si>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</si>
  <si>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</si>
  <si>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</si>
  <si>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</si>
  <si>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</si>
  <si>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</si>
  <si>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</si>
  <si>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</si>
  <si>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</si>
  <si>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</si>
  <si>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</si>
  <si>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</si>
  <si>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</si>
  <si>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</si>
  <si>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</si>
  <si>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</si>
  <si>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</si>
  <si>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</si>
  <si>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</si>
  <si>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</si>
  <si>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</si>
  <si>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</si>
  <si>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</si>
  <si>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</si>
  <si>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</si>
  <si>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</si>
  <si>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</si>
  <si>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</si>
  <si>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</si>
  <si>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</si>
  <si>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</si>
  <si>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</si>
  <si>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</si>
  <si>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</si>
  <si>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</si>
  <si>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</si>
  <si>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</si>
  <si>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</si>
  <si>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</si>
  <si>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</si>
  <si>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</si>
  <si>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</si>
  <si>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</si>
  <si>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</si>
  <si>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</si>
  <si>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</si>
  <si>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</si>
  <si>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</si>
  <si>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</si>
  <si>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</si>
  <si>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</si>
  <si>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</si>
  <si>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</si>
  <si>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</si>
  <si>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</si>
  <si>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</si>
  <si>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</si>
  <si>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</si>
  <si>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</si>
  <si>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</si>
  <si>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</si>
  <si>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</si>
  <si>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</si>
  <si>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</si>
  <si>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</si>
  <si>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</si>
  <si>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</si>
  <si>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</si>
  <si>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</si>
  <si>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</si>
  <si>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</si>
  <si>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</si>
  <si>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</si>
  <si>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</si>
  <si>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</si>
  <si>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</si>
  <si>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</si>
  <si>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</si>
  <si>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</si>
  <si>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</si>
  <si>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</si>
  <si>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</si>
  <si>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</si>
  <si>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</si>
  <si>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</si>
  <si>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</si>
  <si>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</si>
  <si>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</si>
  <si>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</si>
  <si>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</si>
  <si>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</si>
  <si>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</si>
  <si>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</si>
  <si>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</si>
  <si>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</si>
  <si>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</si>
  <si>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</si>
  <si>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</si>
  <si>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</si>
  <si>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</si>
  <si>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</si>
  <si>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</si>
  <si>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</si>
  <si>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</si>
  <si>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</si>
  <si>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</si>
  <si>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</si>
  <si>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</si>
  <si>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</si>
  <si>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</si>
  <si>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</si>
  <si>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</si>
  <si>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</si>
  <si>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</si>
  <si>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</si>
  <si>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</si>
  <si>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</si>
  <si>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</si>
  <si>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</si>
  <si>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</si>
  <si>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</si>
  <si>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</si>
  <si>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</si>
  <si>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</si>
  <si>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</si>
  <si>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</si>
  <si>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</si>
  <si>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</si>
  <si>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</si>
  <si>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</si>
  <si>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</si>
  <si>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</si>
  <si>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</si>
  <si>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</si>
  <si>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</si>
  <si>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</si>
  <si>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</si>
  <si>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</si>
  <si>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</si>
  <si>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</si>
  <si>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</si>
  <si>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</si>
  <si>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</si>
  <si>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</si>
  <si>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</si>
  <si>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</si>
  <si>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</si>
  <si>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</si>
  <si>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</si>
  <si>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</si>
  <si>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</si>
  <si>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</si>
  <si>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</si>
  <si>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</si>
  <si>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</si>
  <si>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</si>
  <si>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</si>
  <si>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</si>
  <si>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</si>
  <si>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</si>
  <si>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</si>
  <si>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</si>
  <si>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</si>
  <si>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</si>
  <si>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</si>
  <si>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</si>
  <si>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</si>
  <si>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</si>
  <si>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</si>
  <si>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</si>
  <si>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</si>
  <si>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</si>
  <si>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</si>
  <si>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</si>
  <si>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</si>
  <si>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</si>
  <si>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</si>
  <si>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</si>
  <si>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</si>
  <si>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</si>
  <si>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</si>
  <si>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</si>
  <si>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</si>
  <si>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</si>
  <si>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</si>
  <si>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</si>
  <si>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</si>
  <si>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</si>
  <si>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</si>
  <si>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</si>
  <si>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</si>
  <si>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</si>
  <si>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</si>
  <si>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</si>
  <si>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</si>
  <si>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</si>
  <si>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</si>
  <si>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</si>
  <si>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</si>
  <si>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</si>
  <si>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</si>
  <si>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</si>
  <si>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</si>
  <si>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</si>
  <si>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</si>
  <si>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</si>
  <si>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</si>
  <si>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</si>
  <si>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</si>
  <si>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</si>
  <si>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</si>
  <si>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</si>
  <si>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</si>
  <si>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</si>
  <si>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</si>
  <si>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</si>
  <si>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</si>
  <si>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</si>
  <si>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</si>
  <si>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</si>
  <si>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</si>
  <si>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</si>
  <si>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</si>
  <si>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</si>
  <si>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</si>
  <si>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</si>
  <si>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</si>
  <si>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</si>
  <si>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</si>
  <si>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</si>
  <si>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</si>
  <si>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</si>
  <si>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</si>
  <si>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</si>
  <si>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</si>
  <si>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</si>
  <si>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</si>
  <si>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</si>
  <si>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</si>
  <si>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</si>
  <si>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</si>
  <si>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</si>
  <si>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</si>
  <si>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</si>
  <si>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</si>
  <si>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</si>
  <si>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</si>
  <si>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</si>
  <si>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</si>
  <si>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</si>
  <si>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</si>
  <si>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</si>
  <si>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</si>
  <si>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</si>
  <si>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</si>
  <si>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</si>
  <si>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</si>
  <si>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</si>
  <si>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</si>
  <si>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</si>
  <si>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</si>
  <si>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</si>
  <si>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</si>
  <si>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</si>
  <si>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</si>
  <si>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</si>
  <si>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</si>
  <si>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</si>
  <si>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</si>
  <si>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</si>
  <si>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</si>
  <si>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</si>
  <si>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</si>
  <si>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</si>
  <si>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</si>
  <si>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</si>
  <si>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</si>
  <si>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</si>
  <si>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</si>
  <si>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</si>
  <si>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</si>
  <si>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</si>
  <si>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</si>
  <si>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</si>
  <si>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</si>
  <si>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</si>
  <si>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</si>
  <si>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</si>
  <si>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</si>
  <si>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</si>
  <si>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</si>
  <si>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</si>
  <si>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</si>
  <si>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</si>
  <si>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</si>
  <si>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</si>
  <si>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</si>
  <si>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</si>
  <si>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</si>
  <si>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</si>
  <si>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</si>
  <si>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</si>
  <si>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</si>
  <si>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</si>
  <si>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</si>
  <si>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</si>
  <si>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</si>
  <si>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</si>
  <si>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</si>
  <si>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</si>
  <si>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</si>
  <si>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</si>
  <si>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</si>
  <si>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</si>
  <si>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</si>
  <si>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</si>
  <si>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</si>
  <si>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</si>
  <si>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</si>
  <si>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</si>
  <si>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</si>
  <si>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</si>
  <si>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</si>
  <si>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</si>
  <si>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</si>
  <si>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</si>
  <si>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</si>
  <si>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</si>
  <si>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</si>
  <si>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</si>
  <si>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</si>
  <si>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</si>
  <si>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</si>
  <si>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</si>
  <si>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</si>
  <si>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</si>
  <si>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</si>
  <si>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</si>
  <si>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</si>
  <si>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</si>
  <si>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</si>
  <si>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</si>
  <si>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</si>
  <si>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</si>
  <si>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</si>
  <si>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</si>
  <si>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</si>
  <si>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</si>
  <si>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</si>
  <si>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</si>
  <si>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</si>
  <si>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</si>
  <si>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</si>
  <si>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</si>
  <si>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</si>
  <si>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</si>
  <si>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</si>
  <si>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</si>
  <si>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</si>
  <si>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</si>
  <si>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</si>
  <si>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</si>
  <si>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</si>
  <si>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</si>
  <si>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</si>
  <si>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</si>
  <si>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</si>
  <si>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</si>
  <si>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</si>
  <si>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</si>
  <si>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</si>
  <si>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</si>
  <si>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</si>
  <si>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</si>
  <si>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</si>
  <si>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</si>
  <si>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</si>
  <si>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</si>
  <si>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</si>
  <si>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</si>
  <si>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</si>
  <si>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</si>
  <si>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</si>
  <si>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</si>
  <si>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</si>
  <si>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</si>
  <si>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</si>
  <si>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</si>
  <si>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</si>
  <si>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</si>
  <si>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</si>
  <si>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</si>
  <si>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</si>
  <si>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</si>
  <si>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</si>
  <si>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</si>
  <si>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</si>
  <si>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</si>
  <si>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</si>
  <si>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</si>
  <si>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</si>
  <si>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</si>
  <si>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</si>
  <si>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</si>
  <si>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</si>
  <si>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</si>
  <si>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</si>
  <si>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</si>
  <si>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</si>
  <si>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</si>
  <si>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</si>
  <si>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</si>
  <si>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</si>
  <si>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</si>
  <si>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</si>
  <si>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</si>
  <si>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</si>
  <si>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</si>
  <si>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</si>
  <si>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</si>
  <si>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</si>
  <si>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</si>
  <si>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</si>
  <si>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</si>
  <si>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</si>
  <si>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</si>
  <si>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</si>
  <si>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</si>
  <si>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</si>
  <si>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</si>
  <si>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</si>
  <si>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</si>
  <si>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</si>
  <si>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</si>
  <si>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</si>
  <si>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</si>
  <si>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</si>
  <si>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</si>
  <si>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</si>
  <si>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</si>
  <si>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</si>
  <si>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</si>
  <si>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</si>
  <si>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</si>
  <si>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</si>
  <si>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</si>
  <si>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</si>
  <si>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</si>
  <si>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</si>
  <si>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</si>
  <si>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</si>
  <si>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</si>
  <si>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</si>
  <si>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</si>
  <si>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</si>
  <si>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</si>
  <si>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</si>
  <si>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</si>
  <si>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</si>
  <si>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</si>
  <si>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</si>
  <si>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</si>
  <si>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</si>
  <si>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</si>
  <si>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</si>
  <si>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</si>
  <si>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</si>
  <si>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</si>
  <si>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</si>
  <si>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</si>
  <si>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</si>
  <si>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</si>
  <si>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</si>
  <si>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</si>
  <si>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</si>
  <si>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</si>
  <si>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</si>
  <si>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</si>
  <si>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</si>
  <si>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</si>
  <si>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</si>
  <si>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</si>
  <si>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</si>
  <si>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</si>
  <si>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</si>
  <si>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</si>
  <si>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</si>
  <si>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</si>
  <si>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</si>
  <si>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</si>
  <si>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</si>
  <si>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</si>
  <si>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</si>
  <si>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</si>
  <si>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</si>
  <si>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</si>
  <si>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</si>
  <si>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</si>
  <si>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</si>
  <si>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</si>
  <si>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</si>
  <si>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</si>
  <si>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</si>
  <si>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</si>
  <si>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</si>
  <si>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</si>
  <si>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</si>
  <si>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</si>
  <si>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</si>
  <si>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</si>
  <si>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</si>
  <si>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</si>
  <si>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</si>
  <si>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</si>
  <si>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</si>
  <si>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</si>
  <si>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</si>
  <si>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</si>
  <si>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</si>
  <si>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</si>
  <si>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</si>
  <si>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</si>
  <si>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</si>
  <si>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</si>
  <si>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</si>
  <si>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</si>
  <si>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</si>
  <si>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</si>
  <si>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</si>
  <si>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</si>
  <si>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</si>
  <si>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</si>
  <si>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</si>
  <si>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</si>
  <si>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</si>
  <si>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</si>
  <si>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</si>
  <si>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</si>
  <si>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</si>
  <si>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</si>
  <si>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</si>
  <si>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</si>
  <si>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</si>
  <si>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</si>
  <si>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</si>
  <si>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</si>
  <si>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</si>
  <si>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</si>
  <si>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</si>
  <si>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</si>
  <si>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</si>
  <si>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</si>
  <si>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</si>
  <si>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</si>
  <si>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</si>
  <si>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</si>
  <si>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</si>
  <si>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</si>
  <si>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</si>
  <si>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</si>
  <si>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</si>
  <si>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</si>
  <si>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</si>
  <si>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</si>
  <si>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</si>
  <si>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</si>
  <si>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</si>
  <si>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</si>
  <si>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</si>
  <si>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</si>
  <si>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</si>
  <si>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</si>
  <si>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</si>
  <si>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</si>
  <si>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</si>
  <si>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</si>
  <si>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</si>
  <si>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</si>
  <si>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</si>
  <si>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</si>
  <si>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</si>
  <si>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</si>
  <si>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</si>
  <si>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</si>
  <si>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</si>
  <si>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</si>
  <si>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</si>
  <si>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</si>
  <si>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</si>
  <si>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</si>
  <si>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</si>
  <si>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</si>
  <si>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</si>
  <si>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</si>
  <si>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</si>
  <si>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</si>
  <si>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</si>
  <si>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</si>
  <si>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</si>
  <si>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</si>
  <si>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</si>
  <si>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</si>
  <si>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</si>
  <si>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</si>
  <si>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</si>
  <si>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</si>
  <si>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</si>
  <si>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</si>
  <si>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</si>
  <si>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</si>
  <si>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</si>
  <si>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</si>
  <si>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</si>
  <si>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</si>
  <si>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</si>
  <si>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</si>
  <si>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</si>
  <si>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</si>
  <si>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</si>
  <si>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</si>
  <si>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</si>
  <si>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</si>
  <si>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</si>
  <si>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</si>
  <si>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</si>
  <si>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</si>
  <si>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</si>
  <si>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</si>
  <si>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</si>
  <si>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</si>
  <si>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</si>
  <si>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</si>
  <si>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</si>
  <si>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</si>
  <si>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</si>
  <si>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</si>
  <si>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</si>
  <si>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</si>
  <si>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</si>
  <si>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</si>
  <si>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</si>
  <si>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</si>
  <si>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</si>
  <si>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</si>
  <si>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</si>
  <si>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</si>
  <si>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</si>
  <si>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</si>
  <si>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</si>
  <si>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</si>
  <si>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</si>
  <si>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</si>
  <si>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</si>
  <si>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</si>
  <si>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</si>
  <si>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</si>
  <si>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</si>
  <si>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</si>
  <si>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</si>
  <si>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</si>
  <si>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</si>
  <si>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</si>
  <si>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</si>
  <si>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</si>
  <si>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</si>
  <si>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</si>
  <si>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</si>
  <si>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</si>
  <si>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</si>
  <si>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</si>
  <si>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</si>
  <si>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</si>
  <si>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</si>
  <si>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</si>
  <si>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</si>
  <si>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</si>
  <si>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</si>
  <si>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</si>
  <si>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</si>
  <si>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</si>
  <si>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</si>
  <si>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</si>
  <si>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</si>
  <si>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</si>
  <si>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</si>
  <si>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</si>
  <si>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</si>
  <si>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</si>
  <si>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</si>
  <si>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</si>
  <si>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</si>
  <si>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</si>
  <si>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</si>
  <si>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</si>
  <si>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</si>
  <si>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</si>
  <si>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</si>
  <si>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</si>
  <si>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</si>
  <si>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</si>
  <si>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</si>
  <si>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</si>
  <si>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</si>
  <si>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</si>
  <si>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</si>
  <si>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</si>
  <si>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</si>
  <si>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</si>
  <si>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</si>
  <si>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</si>
  <si>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</si>
  <si>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</si>
  <si>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</si>
  <si>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</si>
  <si>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</si>
  <si>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</si>
  <si>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</si>
  <si>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</si>
  <si>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</si>
  <si>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</si>
  <si>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</si>
  <si>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</si>
  <si>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</si>
  <si>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</si>
  <si>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</si>
  <si>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</si>
  <si>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</si>
  <si>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</si>
  <si>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</si>
  <si>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</si>
  <si>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</si>
  <si>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</si>
  <si>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</si>
  <si>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</si>
  <si>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</si>
  <si>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</si>
  <si>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</si>
  <si>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</si>
  <si>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</si>
  <si>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</si>
  <si>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</si>
  <si>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</si>
  <si>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</si>
  <si>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</si>
  <si>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</si>
  <si>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</si>
  <si>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</si>
  <si>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</si>
  <si>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</si>
  <si>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</si>
  <si>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</si>
  <si>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</si>
  <si>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</si>
  <si>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</si>
  <si>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</si>
  <si>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</si>
  <si>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</si>
  <si>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</si>
  <si>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</si>
  <si>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</si>
  <si>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</si>
  <si>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</si>
  <si>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</si>
  <si>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</si>
  <si>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</si>
  <si>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</si>
  <si>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</si>
  <si>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</si>
  <si>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</si>
  <si>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</si>
  <si>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</si>
  <si>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</si>
  <si>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</si>
  <si>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</si>
  <si>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</si>
  <si>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</si>
  <si>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</si>
  <si>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</si>
  <si>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</si>
  <si>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</si>
  <si>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</si>
  <si>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</si>
  <si>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</si>
  <si>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</si>
  <si>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</si>
  <si>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</si>
  <si>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</si>
  <si>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</si>
  <si>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</si>
  <si>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</si>
  <si>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</si>
  <si>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</si>
  <si>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</si>
  <si>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</si>
  <si>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</si>
  <si>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</si>
  <si>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</si>
  <si>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</si>
  <si>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</si>
  <si>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</si>
  <si>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</si>
  <si>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</si>
  <si>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</si>
  <si>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</si>
  <si>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</si>
  <si>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</si>
  <si>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</si>
  <si>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</si>
  <si>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</si>
  <si>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</si>
  <si>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</si>
  <si>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</si>
  <si>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</si>
  <si>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</si>
  <si>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</si>
  <si>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</si>
  <si>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</si>
  <si>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</si>
  <si>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</si>
  <si>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</si>
  <si>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</si>
  <si>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</si>
  <si>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</si>
  <si>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</si>
  <si>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</si>
  <si>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</si>
  <si>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</si>
  <si>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</si>
  <si>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</si>
  <si>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</si>
  <si>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</si>
  <si>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</si>
  <si>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</si>
  <si>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</si>
  <si>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</si>
  <si>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</si>
  <si>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</si>
  <si>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</si>
  <si>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</si>
  <si>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</si>
  <si>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</si>
  <si>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</si>
  <si>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</si>
  <si>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</si>
  <si>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</si>
  <si>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</si>
  <si>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</si>
  <si>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</si>
  <si>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</si>
  <si>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</si>
  <si>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</si>
  <si>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</si>
  <si>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</si>
  <si>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</si>
  <si>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</si>
  <si>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</si>
  <si>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</si>
  <si>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</si>
  <si>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</si>
  <si>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</si>
  <si>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</si>
  <si>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</si>
  <si>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</si>
  <si>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</si>
  <si>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</si>
  <si>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</si>
  <si>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</si>
  <si>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</si>
  <si>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</si>
  <si>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</si>
  <si>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</si>
  <si>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</si>
  <si>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</si>
  <si>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</si>
  <si>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</si>
  <si>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</si>
  <si>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</si>
  <si>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</si>
  <si>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</si>
  <si>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</si>
  <si>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</si>
  <si>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</si>
  <si>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</si>
  <si>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</si>
  <si>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</si>
  <si>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</si>
  <si>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</si>
  <si>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</si>
  <si>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</si>
  <si>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</si>
  <si>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</si>
  <si>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</si>
  <si>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</si>
  <si>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</si>
  <si>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</si>
  <si>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</si>
  <si>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</si>
  <si>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</si>
  <si>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</si>
  <si>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</si>
  <si>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</si>
  <si>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</si>
  <si>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</si>
  <si>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</si>
  <si>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</si>
  <si>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</si>
  <si>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</si>
  <si>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</si>
  <si>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</si>
  <si>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</si>
  <si>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</si>
  <si>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</si>
  <si>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</si>
  <si>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</si>
  <si>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</si>
  <si>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</si>
  <si>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</si>
  <si>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</si>
  <si>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</si>
  <si>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</si>
  <si>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</si>
  <si>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</si>
  <si>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</si>
  <si>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</si>
  <si>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</si>
  <si>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</si>
  <si>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</si>
  <si>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</si>
  <si>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</si>
  <si>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</si>
  <si>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</si>
  <si>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</si>
  <si>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</si>
  <si>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</si>
  <si>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</si>
  <si>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</si>
  <si>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</si>
  <si>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</si>
  <si>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</si>
  <si>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</si>
  <si>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</si>
  <si>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</si>
  <si>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</si>
  <si>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</si>
  <si>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</si>
  <si>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</si>
  <si>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</si>
  <si>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</si>
  <si>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</si>
  <si>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</si>
  <si>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</si>
  <si>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</si>
  <si>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</si>
  <si>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</si>
  <si>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</si>
  <si>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</si>
  <si>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</si>
  <si>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</si>
  <si>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</si>
  <si>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</si>
  <si>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</si>
  <si>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</si>
  <si>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</si>
  <si>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</si>
  <si>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</si>
  <si>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</si>
  <si>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</si>
  <si>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</si>
  <si>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</si>
  <si>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</si>
  <si>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</si>
  <si>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</si>
  <si>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</si>
  <si>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</si>
  <si>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</si>
  <si>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</si>
  <si>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</si>
  <si>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</si>
  <si>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</si>
  <si>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</si>
  <si>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</si>
  <si>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</si>
  <si>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</si>
  <si>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</si>
  <si>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</si>
  <si>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</si>
  <si>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</si>
  <si>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</si>
  <si>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</si>
  <si>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</si>
  <si>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</si>
  <si>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</si>
  <si>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</si>
  <si>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</si>
  <si>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</si>
  <si>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</si>
  <si>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</si>
  <si>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</si>
  <si>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</si>
  <si>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</si>
  <si>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</si>
  <si>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</si>
  <si>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</si>
  <si>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</si>
  <si>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</si>
  <si>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</si>
  <si>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</si>
  <si>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</si>
  <si>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</si>
  <si>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</si>
  <si>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</si>
  <si>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</si>
  <si>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</si>
  <si>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</si>
  <si>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</si>
  <si>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</si>
  <si>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</si>
  <si>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</si>
  <si>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</si>
  <si>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</si>
  <si>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</si>
  <si>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</si>
  <si>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</si>
  <si>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</si>
  <si>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</si>
  <si>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</si>
  <si>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</si>
  <si>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</si>
  <si>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</si>
  <si>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</si>
  <si>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</si>
  <si>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</si>
  <si>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</si>
  <si>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</si>
  <si>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</si>
  <si>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</si>
  <si>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</si>
  <si>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</si>
  <si>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</si>
  <si>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</si>
  <si>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</si>
  <si>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</si>
  <si>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</si>
  <si>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</si>
  <si>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</si>
  <si>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</si>
  <si>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</si>
  <si>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</si>
  <si>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</si>
  <si>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</si>
  <si>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</si>
  <si>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</si>
  <si>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</si>
  <si>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</si>
  <si>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</si>
  <si>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</si>
  <si>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</si>
  <si>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</si>
  <si>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</si>
  <si>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</si>
  <si>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</si>
  <si>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</si>
  <si>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</si>
  <si>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</si>
  <si>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</si>
  <si>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</si>
  <si>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</si>
  <si>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</si>
  <si>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</si>
  <si>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</si>
  <si>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</si>
  <si>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</si>
  <si>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</si>
  <si>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</si>
  <si>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</si>
  <si>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</si>
  <si>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</si>
  <si>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</si>
  <si>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</si>
  <si>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</si>
  <si>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</si>
  <si>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</si>
  <si>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</si>
  <si>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</si>
  <si>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</si>
  <si>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</si>
  <si>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</si>
  <si>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</si>
  <si>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</si>
  <si>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</si>
  <si>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</si>
  <si>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</si>
  <si>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</si>
  <si>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</si>
  <si>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</si>
  <si>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</si>
  <si>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</si>
  <si>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</si>
  <si>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</si>
  <si>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</si>
  <si>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</si>
  <si>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</si>
  <si>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</si>
  <si>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</si>
  <si>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</si>
  <si>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</si>
  <si>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</si>
  <si>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</si>
  <si>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</si>
  <si>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</si>
  <si>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</si>
  <si>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</si>
  <si>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</si>
  <si>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</si>
  <si>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</si>
  <si>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</si>
  <si>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</si>
  <si>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</si>
  <si>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</si>
  <si>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</si>
  <si>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</si>
  <si>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</si>
  <si>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</si>
  <si>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</si>
  <si>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</si>
  <si>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</si>
  <si>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</si>
  <si>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</si>
  <si>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</si>
  <si>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</si>
  <si>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</si>
  <si>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</si>
  <si>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</si>
  <si>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</si>
  <si>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</si>
  <si>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</si>
  <si>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</si>
  <si>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</si>
  <si>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</si>
  <si>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</si>
  <si>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</si>
  <si>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</si>
  <si>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</si>
  <si>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</si>
  <si>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</si>
  <si>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</si>
  <si>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</si>
  <si>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</si>
  <si>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</si>
  <si>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</si>
  <si>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</si>
  <si>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</si>
  <si>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</si>
  <si>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</si>
  <si>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</si>
  <si>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</si>
  <si>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</si>
  <si>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</si>
  <si>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</si>
  <si>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</si>
  <si>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</si>
  <si>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</si>
  <si>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</si>
  <si>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</si>
  <si>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</si>
  <si>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</si>
  <si>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</si>
  <si>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</si>
  <si>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</si>
  <si>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</si>
  <si>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</si>
  <si>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</si>
  <si>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</si>
  <si>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</si>
  <si>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</si>
  <si>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</si>
  <si>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</si>
  <si>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</si>
  <si>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</si>
  <si>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</si>
  <si>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</si>
  <si>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</si>
  <si>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</si>
  <si>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</si>
  <si>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</si>
  <si>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</si>
  <si>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</si>
  <si>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</si>
  <si>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</si>
  <si>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</si>
  <si>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</si>
  <si>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</si>
  <si>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</si>
  <si>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</si>
  <si>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</si>
  <si>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</si>
  <si>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</si>
  <si>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</si>
  <si>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</si>
  <si>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</si>
  <si>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</si>
  <si>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</si>
  <si>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</si>
  <si>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</si>
  <si>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</si>
  <si>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</si>
  <si>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</si>
  <si>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</si>
  <si>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</si>
  <si>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</si>
  <si>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</si>
  <si>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</si>
  <si>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</si>
  <si>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</si>
  <si>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</si>
  <si>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</si>
  <si>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</si>
  <si>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</si>
  <si>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</si>
  <si>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</si>
  <si>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</si>
  <si>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</si>
  <si>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</si>
  <si>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</si>
  <si>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</si>
  <si>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</si>
  <si>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</si>
  <si>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</si>
  <si>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</si>
  <si>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</si>
  <si>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</si>
  <si>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</si>
  <si>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</si>
  <si>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</si>
  <si>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</si>
  <si>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</si>
  <si>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</si>
  <si>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</si>
  <si>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</si>
  <si>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</si>
  <si>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</si>
  <si>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</si>
  <si>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</si>
  <si>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</si>
  <si>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</si>
  <si>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</si>
  <si>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</si>
  <si>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</si>
  <si>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</si>
  <si>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</si>
  <si>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</si>
  <si>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</si>
  <si>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</si>
  <si>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</si>
  <si>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</si>
  <si>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</si>
  <si>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</si>
  <si>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</si>
  <si>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</si>
  <si>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</si>
  <si>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</si>
  <si>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</si>
  <si>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</si>
  <si>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</si>
  <si>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</si>
  <si>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</si>
  <si>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</si>
  <si>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</si>
  <si>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</si>
  <si>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</si>
  <si>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</si>
  <si>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</si>
  <si>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</si>
  <si>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</si>
  <si>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</si>
  <si>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</si>
  <si>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</si>
  <si>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</si>
  <si>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</si>
  <si>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</si>
  <si>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</si>
  <si>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</si>
  <si>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</si>
  <si>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</si>
  <si>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</si>
  <si>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</si>
  <si>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</si>
  <si>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</si>
  <si>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</si>
  <si>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</si>
  <si>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</si>
  <si>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</si>
  <si>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</si>
  <si>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</si>
  <si>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</si>
  <si>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</si>
  <si>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</si>
  <si>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</si>
  <si>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</si>
  <si>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</si>
  <si>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</si>
  <si>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</si>
  <si>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</si>
  <si>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</si>
  <si>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</si>
  <si>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</si>
  <si>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</si>
  <si>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</si>
  <si>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</si>
  <si>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</si>
  <si>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</si>
  <si>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</si>
  <si>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</si>
  <si>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</si>
  <si>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</si>
  <si>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</si>
  <si>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</si>
  <si>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</si>
  <si>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</si>
  <si>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</si>
  <si>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</si>
  <si>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</si>
  <si>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</si>
  <si>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</si>
  <si>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</si>
  <si>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</si>
  <si>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</si>
  <si>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</si>
  <si>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</si>
  <si>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</si>
  <si>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</si>
  <si>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</si>
  <si>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</si>
  <si>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</si>
  <si>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</si>
  <si>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</si>
  <si>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</si>
  <si>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</si>
  <si>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</si>
  <si>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</si>
  <si>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</si>
  <si>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</si>
  <si>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</si>
  <si>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</si>
  <si>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</si>
  <si>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</si>
  <si>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</si>
  <si>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</si>
  <si>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</si>
  <si>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</si>
  <si>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</si>
  <si>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</si>
  <si>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</si>
  <si>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</si>
  <si>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</si>
  <si>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</si>
  <si>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</si>
  <si>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</si>
  <si>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</si>
  <si>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</si>
  <si>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</si>
  <si>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</si>
  <si>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</si>
  <si>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</si>
  <si>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</si>
  <si>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</si>
  <si>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</si>
  <si>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</si>
  <si>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</si>
  <si>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</si>
  <si>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</si>
  <si>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</si>
  <si>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</si>
  <si>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</si>
  <si>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</si>
  <si>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</si>
  <si>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</si>
  <si>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</si>
  <si>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</si>
  <si>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</si>
  <si>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</si>
  <si>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</si>
  <si>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</si>
  <si>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</si>
  <si>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</si>
  <si>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</si>
  <si>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</si>
  <si>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</si>
  <si>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</si>
  <si>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</si>
  <si>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</si>
  <si>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</si>
  <si>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</si>
  <si>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</si>
  <si>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</si>
  <si>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</si>
  <si>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</si>
  <si>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</si>
  <si>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</si>
  <si>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</si>
  <si>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</si>
  <si>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</si>
  <si>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</si>
  <si>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</si>
  <si>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</si>
  <si>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</si>
  <si>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</si>
  <si>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</si>
  <si>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</si>
  <si>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</si>
  <si>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</si>
  <si>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</si>
  <si>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</si>
  <si>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</si>
  <si>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</si>
  <si>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</si>
  <si>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</si>
  <si>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</si>
  <si>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</si>
  <si>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</si>
  <si>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</si>
  <si>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</si>
  <si>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</si>
  <si>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</si>
  <si>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</si>
  <si>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</si>
  <si>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</si>
  <si>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</si>
  <si>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</si>
  <si>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</si>
  <si>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</si>
  <si>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</si>
  <si>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</si>
  <si>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</si>
  <si>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</si>
  <si>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</si>
  <si>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</si>
  <si>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</si>
  <si>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</si>
  <si>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</si>
  <si>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</si>
  <si>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</si>
  <si>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</si>
  <si>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</si>
  <si>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</si>
  <si>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</si>
  <si>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</si>
  <si>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</si>
  <si>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</si>
  <si>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</si>
  <si>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</si>
  <si>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</si>
  <si>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</si>
  <si>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</si>
  <si>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</si>
  <si>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</si>
  <si>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</si>
  <si>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</si>
  <si>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</si>
  <si>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</si>
  <si>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</si>
  <si>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</si>
  <si>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</si>
  <si>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</si>
  <si>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</si>
  <si>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</si>
  <si>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</si>
  <si>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</si>
  <si>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</si>
  <si>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</si>
  <si>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</si>
  <si>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</si>
  <si>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</si>
  <si>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</si>
  <si>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</si>
  <si>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</si>
  <si>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</si>
  <si>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</si>
  <si>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</si>
  <si>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</si>
  <si>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</si>
  <si>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</si>
  <si>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</si>
  <si>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</si>
  <si>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</si>
  <si>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</si>
  <si>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</si>
  <si>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</si>
  <si>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</si>
  <si>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</si>
  <si>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</si>
  <si>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</si>
  <si>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</si>
  <si>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</si>
  <si>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</si>
  <si>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</si>
  <si>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</si>
  <si>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</si>
  <si>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</si>
  <si>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</si>
  <si>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</si>
  <si>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</si>
  <si>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</si>
  <si>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</si>
  <si>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</si>
  <si>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</si>
  <si>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</si>
  <si>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</si>
  <si>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</si>
  <si>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</si>
  <si>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</si>
  <si>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</si>
  <si>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</si>
  <si>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</si>
  <si>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</si>
  <si>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</si>
  <si>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</si>
  <si>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</si>
  <si>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</si>
  <si>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</si>
  <si>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</si>
  <si>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</si>
  <si>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</si>
  <si>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</si>
  <si>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</si>
  <si>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</si>
  <si>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</si>
  <si>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</si>
  <si>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</si>
  <si>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</si>
  <si>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</si>
  <si>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</si>
  <si>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</si>
  <si>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</si>
  <si>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</si>
  <si>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</si>
  <si>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</si>
  <si>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</si>
  <si>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</si>
  <si>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</si>
  <si>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</si>
  <si>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</si>
  <si>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</si>
  <si>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</si>
  <si>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</si>
  <si>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</si>
  <si>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</si>
  <si>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</si>
  <si>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</si>
  <si>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</si>
  <si>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</si>
  <si>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</si>
  <si>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</si>
  <si>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</si>
  <si>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</si>
  <si>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</si>
  <si>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</si>
  <si>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</si>
  <si>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</si>
  <si>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</si>
  <si>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</si>
  <si>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</si>
  <si>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</si>
  <si>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</si>
  <si>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</si>
  <si>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</si>
  <si>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</si>
  <si>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</si>
  <si>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</si>
  <si>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</si>
  <si>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</si>
  <si>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</si>
  <si>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</si>
  <si>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</si>
  <si>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</si>
  <si>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</si>
  <si>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</si>
  <si>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</si>
  <si>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</si>
  <si>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</si>
  <si>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</si>
  <si>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</si>
  <si>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</si>
  <si>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</si>
  <si>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</si>
  <si>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</si>
  <si>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</si>
  <si>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</si>
  <si>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</si>
  <si>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</si>
  <si>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</si>
  <si>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</si>
  <si>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</si>
  <si>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</si>
  <si>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</si>
  <si>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</si>
  <si>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</si>
  <si>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</si>
  <si>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</si>
  <si>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</si>
  <si>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</si>
  <si>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</si>
  <si>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</si>
  <si>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</si>
  <si>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</si>
  <si>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</si>
  <si>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</si>
  <si>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</si>
  <si>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</si>
  <si>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</si>
  <si>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</si>
  <si>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</si>
  <si>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</si>
  <si>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</si>
  <si>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</si>
  <si>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</si>
  <si>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</si>
  <si>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</si>
  <si>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</si>
  <si>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</si>
  <si>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</si>
  <si>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</si>
  <si>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</si>
  <si>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</si>
  <si>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</si>
  <si>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</si>
  <si>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</si>
  <si>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</si>
  <si>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</si>
  <si>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</si>
  <si>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</si>
  <si>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</si>
  <si>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</si>
  <si>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</si>
  <si>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</si>
  <si>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</si>
  <si>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</si>
  <si>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</si>
  <si>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</si>
  <si>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</si>
  <si>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</si>
  <si>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</si>
  <si>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</si>
  <si>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</si>
  <si>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</si>
  <si>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</si>
  <si>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</si>
  <si>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</si>
  <si>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</si>
  <si>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</si>
  <si>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</si>
  <si>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</si>
  <si>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</si>
  <si>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</si>
  <si>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</si>
  <si>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</si>
  <si>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</si>
  <si>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</si>
  <si>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</si>
  <si>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</si>
  <si>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</si>
  <si>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</si>
  <si>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</si>
  <si>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</si>
  <si>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</si>
  <si>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</si>
  <si>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</si>
  <si>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</si>
  <si>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</si>
  <si>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</si>
  <si>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</si>
  <si>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</si>
  <si>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</si>
  <si>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</si>
  <si>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</si>
  <si>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</si>
  <si>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</si>
  <si>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</si>
  <si>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</si>
  <si>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</si>
  <si>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</si>
  <si>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</si>
  <si>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</si>
  <si>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</si>
  <si>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</si>
  <si>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</si>
  <si>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</si>
  <si>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</si>
  <si>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</si>
  <si>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</si>
  <si>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</si>
  <si>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</si>
  <si>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</si>
  <si>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</si>
  <si>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</si>
  <si>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</si>
  <si>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</si>
  <si>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</si>
  <si>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</si>
  <si>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</si>
  <si>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</si>
  <si>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</si>
  <si>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</si>
  <si>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</si>
  <si>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</si>
  <si>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</si>
  <si>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</si>
  <si>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</si>
  <si>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</si>
  <si>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</si>
  <si>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</si>
  <si>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</si>
  <si>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</si>
  <si>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</si>
  <si>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</si>
  <si>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</si>
  <si>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</si>
  <si>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</si>
  <si>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</si>
  <si>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</si>
  <si>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</si>
  <si>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</si>
  <si>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</si>
  <si>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</si>
  <si>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</si>
  <si>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</si>
  <si>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</si>
  <si>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</si>
  <si>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</si>
  <si>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</si>
  <si>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</si>
  <si>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</si>
  <si>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</si>
  <si>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</si>
  <si>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</si>
  <si>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</si>
  <si>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</si>
  <si>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</si>
  <si>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</si>
  <si>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</si>
  <si>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</si>
  <si>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</si>
  <si>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</si>
  <si>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</si>
  <si>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</si>
  <si>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</si>
  <si>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</si>
  <si>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</si>
  <si>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</si>
  <si>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</si>
  <si>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</si>
  <si>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</si>
  <si>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</si>
  <si>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</si>
  <si>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</si>
  <si>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</si>
  <si>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</si>
  <si>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</si>
  <si>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</si>
  <si>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</si>
  <si>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</si>
  <si>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</si>
  <si>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</si>
  <si>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</si>
  <si>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</si>
  <si>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</si>
  <si>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</si>
  <si>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</si>
  <si>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</si>
  <si>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</si>
  <si>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</si>
  <si>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</si>
  <si>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</si>
  <si>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</si>
  <si>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</si>
  <si>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</si>
  <si>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</si>
  <si>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</si>
  <si>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</si>
  <si>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</si>
  <si>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</si>
  <si>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</si>
  <si>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</si>
  <si>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</si>
  <si>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</si>
  <si>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</si>
  <si>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</si>
  <si>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</si>
  <si>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</si>
  <si>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</si>
  <si>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</si>
  <si>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</si>
  <si>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</si>
  <si>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</si>
  <si>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</si>
  <si>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</si>
  <si>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</si>
  <si>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</si>
  <si>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</si>
  <si>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</si>
  <si>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</si>
  <si>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</si>
  <si>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</si>
  <si>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</si>
  <si>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</si>
  <si>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</si>
  <si>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</si>
  <si>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</si>
  <si>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</si>
  <si>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</si>
  <si>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</si>
  <si>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</si>
  <si>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</si>
  <si>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</si>
  <si>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</si>
  <si>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</si>
  <si>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</si>
  <si>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</si>
  <si>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</si>
  <si>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</si>
  <si>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</si>
  <si>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</si>
  <si>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</si>
  <si>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</si>
  <si>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</si>
  <si>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</si>
  <si>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</si>
  <si>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</si>
  <si>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</si>
  <si>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</si>
  <si>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</si>
  <si>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</si>
  <si>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</si>
  <si>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</si>
  <si>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</si>
  <si>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</si>
  <si>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</si>
  <si>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</si>
  <si>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</si>
  <si>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</si>
  <si>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</si>
  <si>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</si>
  <si>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</si>
  <si>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</si>
  <si>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</si>
  <si>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</si>
  <si>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</si>
  <si>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</si>
  <si>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</si>
  <si>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</si>
  <si>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</si>
  <si>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</si>
  <si>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</si>
  <si>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</si>
  <si>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</si>
  <si>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</si>
  <si>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</si>
  <si>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</si>
  <si>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</si>
  <si>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</si>
  <si>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</si>
  <si>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</si>
  <si>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</si>
  <si>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</si>
  <si>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</si>
  <si>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</si>
  <si>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</si>
  <si>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</si>
  <si>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</si>
  <si>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</si>
  <si>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</si>
  <si>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</si>
  <si>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</si>
  <si>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</si>
  <si>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</si>
  <si>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</si>
  <si>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</si>
  <si>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</si>
  <si>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</si>
  <si>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</si>
  <si>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</si>
  <si>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</si>
  <si>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</si>
  <si>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</si>
  <si>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</si>
  <si>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</si>
  <si>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</si>
  <si>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</si>
  <si>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</si>
  <si>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</si>
  <si>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</si>
  <si>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</si>
  <si>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</si>
  <si>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</si>
  <si>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</si>
  <si>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</si>
  <si>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</si>
  <si>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</si>
  <si>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</si>
  <si>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</si>
  <si>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</si>
  <si>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</si>
  <si>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</si>
  <si>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</si>
  <si>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</si>
  <si>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</si>
  <si>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</si>
  <si>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</si>
  <si>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</si>
  <si>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</si>
  <si>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</si>
  <si>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</si>
  <si>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</si>
  <si>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</si>
  <si>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</si>
  <si>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</si>
  <si>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</si>
  <si>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</si>
  <si>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</si>
  <si>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</si>
  <si>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</si>
  <si>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</si>
  <si>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</si>
  <si>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</si>
  <si>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</si>
  <si>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</si>
  <si>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</si>
  <si>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</si>
  <si>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</si>
  <si>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</si>
  <si>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</si>
  <si>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</si>
  <si>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</si>
  <si>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</si>
  <si>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</si>
  <si>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</si>
  <si>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</si>
  <si>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</si>
  <si>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</si>
  <si>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</si>
  <si>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</si>
  <si>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</si>
  <si>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</si>
  <si>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</si>
  <si>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</si>
  <si>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</si>
  <si>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</si>
  <si>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</si>
  <si>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</si>
  <si>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</si>
  <si>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</si>
  <si>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</si>
  <si>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</si>
  <si>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</si>
  <si>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</si>
  <si>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</si>
  <si>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</si>
  <si>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</si>
  <si>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</si>
  <si>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</si>
  <si>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</si>
  <si>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</si>
  <si>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</si>
  <si>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</si>
  <si>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</si>
  <si>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</si>
  <si>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</si>
  <si>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</si>
  <si>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</si>
  <si>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</si>
  <si>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</si>
  <si>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</si>
  <si>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</si>
  <si>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</si>
  <si>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</si>
  <si>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</si>
  <si>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</si>
  <si>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</si>
  <si>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</si>
  <si>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</si>
  <si>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</si>
  <si>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</si>
  <si>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</si>
  <si>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</si>
  <si>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</si>
  <si>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</si>
  <si>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</si>
  <si>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</si>
  <si>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</si>
  <si>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</si>
  <si>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</si>
  <si>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</si>
  <si>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</si>
  <si>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</si>
  <si>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</si>
  <si>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</si>
  <si>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</si>
  <si>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</si>
  <si>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</si>
  <si>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</si>
  <si>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</si>
  <si>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</si>
  <si>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</si>
  <si>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</si>
  <si>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</si>
  <si>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</si>
  <si>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</si>
  <si>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</si>
  <si>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</si>
  <si>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</si>
  <si>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</si>
  <si>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</si>
  <si>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</si>
  <si>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</si>
  <si>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</si>
  <si>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</si>
  <si>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</si>
  <si>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</si>
  <si>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</si>
  <si>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</si>
  <si>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</si>
  <si>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</si>
  <si>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</si>
  <si>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</si>
  <si>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</si>
  <si>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</si>
  <si>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</si>
  <si>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</si>
  <si>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</si>
  <si>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</si>
  <si>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</si>
  <si>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</si>
  <si>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</si>
  <si>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</si>
  <si>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</si>
  <si>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</si>
  <si>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</si>
  <si>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</si>
  <si>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</si>
  <si>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</si>
  <si>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</si>
  <si>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</si>
  <si>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</si>
  <si>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</si>
  <si>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</si>
  <si>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</si>
  <si>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</si>
  <si>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</si>
  <si>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</si>
  <si>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</si>
  <si>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</si>
  <si>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</si>
  <si>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</si>
  <si>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</si>
  <si>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</si>
  <si>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</si>
  <si>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</si>
  <si>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</si>
  <si>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</si>
  <si>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</si>
  <si>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</si>
  <si>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</si>
  <si>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</si>
  <si>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</si>
  <si>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</si>
  <si>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</si>
  <si>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</si>
  <si>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</si>
  <si>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</si>
  <si>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</si>
  <si>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</si>
  <si>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</si>
  <si>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</si>
  <si>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</si>
  <si>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</si>
  <si>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</si>
  <si>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</si>
  <si>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</si>
  <si>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</si>
  <si>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</si>
  <si>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</si>
  <si>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</si>
  <si>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</si>
  <si>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</si>
  <si>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</si>
  <si>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</si>
  <si>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</si>
  <si>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</si>
  <si>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</si>
  <si>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</si>
  <si>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</si>
  <si>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</si>
  <si>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</si>
  <si>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</si>
  <si>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</si>
  <si>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</si>
  <si>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</si>
  <si>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</si>
  <si>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</si>
  <si>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</si>
  <si>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</si>
  <si>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</si>
  <si>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</si>
  <si>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</si>
  <si>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</si>
  <si>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</si>
  <si>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</si>
  <si>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</si>
  <si>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</si>
  <si>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</si>
  <si>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</si>
  <si>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</si>
  <si>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</si>
  <si>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</si>
  <si>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</si>
  <si>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</si>
  <si>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</si>
  <si>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</si>
  <si>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</si>
  <si>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</si>
  <si>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</si>
  <si>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</si>
  <si>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</si>
  <si>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</si>
  <si>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</si>
  <si>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</si>
  <si>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</si>
  <si>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</si>
  <si>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</si>
  <si>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</si>
  <si>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</si>
  <si>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</si>
  <si>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</si>
  <si>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</si>
  <si>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</si>
  <si>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</si>
  <si>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</si>
  <si>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</si>
  <si>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</si>
  <si>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</si>
  <si>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</si>
  <si>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</si>
  <si>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</si>
  <si>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</si>
  <si>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</si>
  <si>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</si>
  <si>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</si>
  <si>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</si>
  <si>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</si>
  <si>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</si>
  <si>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</si>
  <si>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</si>
  <si>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</si>
  <si>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</si>
  <si>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</si>
  <si>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</si>
  <si>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</si>
  <si>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</si>
  <si>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</si>
  <si>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</si>
  <si>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</si>
  <si>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</si>
  <si>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</si>
  <si>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</si>
  <si>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</si>
  <si>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</si>
  <si>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</si>
  <si>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</si>
  <si>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</si>
  <si>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</si>
  <si>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</si>
  <si>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</si>
  <si>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</si>
  <si>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</si>
  <si>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</si>
  <si>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</si>
  <si>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</si>
  <si>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</si>
  <si>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</si>
  <si>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</si>
  <si>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</si>
  <si>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</si>
  <si>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</si>
  <si>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</si>
  <si>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</si>
  <si>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</si>
  <si>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</si>
  <si>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</si>
  <si>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</si>
  <si>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</si>
  <si>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</si>
  <si>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</si>
  <si>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</si>
  <si>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</si>
  <si>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</si>
  <si>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</si>
  <si>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</si>
  <si>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</si>
  <si>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</si>
  <si>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</si>
  <si>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</si>
  <si>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</si>
  <si>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</si>
  <si>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</si>
  <si>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</si>
  <si>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</si>
  <si>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</si>
  <si>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</si>
  <si>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</si>
  <si>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</si>
  <si>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</si>
  <si>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</si>
  <si>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</si>
  <si>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</si>
  <si>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</si>
  <si>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</si>
  <si>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</si>
  <si>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</si>
  <si>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</si>
  <si>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</si>
  <si>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</si>
  <si>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</si>
  <si>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</si>
  <si>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</si>
  <si>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</si>
  <si>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</si>
  <si>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</si>
  <si>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</si>
  <si>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</si>
  <si>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</si>
  <si>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</si>
  <si>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</si>
  <si>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</si>
  <si>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</si>
  <si>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</si>
  <si>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</si>
  <si>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</si>
  <si>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</si>
  <si>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</si>
  <si>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</si>
  <si>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</si>
  <si>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</si>
  <si>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</si>
  <si>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</si>
  <si>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</si>
  <si>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</si>
  <si>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</si>
  <si>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</si>
  <si>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</si>
  <si>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</si>
  <si>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</si>
  <si>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</si>
  <si>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</si>
  <si>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</si>
  <si>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</si>
  <si>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</si>
  <si>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</si>
  <si>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</si>
  <si>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</si>
  <si>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</si>
  <si>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</si>
  <si>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</si>
  <si>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</si>
  <si>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</si>
  <si>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</si>
  <si>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</si>
  <si>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</si>
  <si>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</si>
  <si>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</si>
  <si>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</si>
  <si>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</si>
  <si>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</si>
  <si>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</si>
  <si>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</si>
  <si>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</si>
  <si>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</si>
  <si>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</si>
  <si>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</si>
  <si>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</si>
  <si>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</si>
  <si>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</si>
  <si>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</si>
  <si>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</si>
  <si>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</si>
  <si>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</si>
  <si>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</si>
  <si>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</si>
  <si>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</si>
  <si>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</si>
  <si>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</si>
  <si>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</si>
  <si>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</si>
  <si>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</si>
  <si>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</si>
  <si>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</si>
  <si>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</si>
  <si>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</si>
  <si>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</si>
  <si>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</si>
  <si>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</si>
  <si>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</si>
  <si>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</si>
  <si>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</si>
  <si>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</si>
  <si>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</si>
  <si>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</si>
  <si>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</si>
  <si>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</si>
  <si>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</si>
  <si>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</si>
  <si>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</si>
  <si>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</si>
  <si>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</si>
  <si>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</si>
  <si>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</si>
  <si>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</si>
  <si>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</si>
  <si>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</si>
  <si>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</si>
  <si>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</si>
  <si>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</si>
  <si>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</si>
  <si>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</si>
  <si>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</si>
  <si>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</si>
  <si>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</si>
  <si>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</si>
  <si>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</si>
  <si>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</si>
  <si>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</si>
  <si>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</si>
  <si>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</si>
  <si>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</si>
  <si>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</si>
  <si>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</si>
  <si>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</si>
  <si>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</si>
  <si>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</si>
  <si>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</si>
  <si>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</si>
  <si>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</si>
  <si>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</si>
  <si>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</si>
  <si>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</si>
  <si>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</si>
  <si>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</si>
  <si>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</si>
  <si>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</si>
  <si>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</si>
  <si>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</si>
  <si>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</si>
  <si>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</si>
  <si>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</si>
  <si>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</si>
  <si>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</si>
  <si>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</si>
  <si>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</si>
  <si>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</si>
  <si>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</si>
  <si>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</si>
  <si>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</si>
  <si>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</si>
  <si>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</si>
  <si>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</si>
  <si>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</si>
  <si>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</si>
  <si>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</si>
  <si>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</si>
  <si>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</si>
  <si>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</si>
  <si>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</si>
  <si>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</si>
  <si>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</si>
  <si>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</si>
  <si>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</si>
  <si>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</si>
  <si>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</si>
  <si>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</si>
  <si>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</si>
  <si>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</si>
  <si>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</si>
  <si>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</si>
  <si>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</si>
  <si>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</si>
  <si>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</si>
  <si>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</si>
  <si>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</si>
  <si>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</si>
  <si>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</si>
  <si>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</si>
  <si>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</si>
  <si>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</si>
  <si>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</si>
  <si>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</si>
  <si>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</si>
  <si>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</si>
  <si>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</si>
  <si>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</si>
  <si>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</si>
  <si>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</si>
  <si>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</si>
  <si>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</si>
  <si>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</si>
  <si>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</si>
  <si>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</si>
  <si>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</si>
  <si>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</si>
  <si>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</si>
  <si>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</si>
  <si>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</si>
  <si>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</si>
  <si>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</si>
  <si>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</si>
  <si>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</si>
  <si>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</si>
  <si>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</si>
  <si>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</si>
  <si>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</si>
  <si>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</si>
  <si>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</si>
  <si>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</si>
  <si>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</si>
  <si>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</si>
  <si>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</si>
  <si>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</si>
  <si>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</si>
  <si>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</si>
  <si>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</si>
  <si>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</si>
  <si>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</si>
  <si>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</si>
  <si>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</si>
  <si>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</si>
  <si>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</si>
  <si>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</si>
  <si>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</si>
  <si>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</si>
  <si>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</si>
  <si>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</si>
  <si>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</si>
  <si>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</si>
  <si>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</si>
  <si>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</si>
  <si>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</si>
  <si>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</si>
  <si>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</si>
  <si>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</si>
  <si>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</si>
  <si>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</si>
  <si>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</si>
  <si>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</si>
  <si>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</si>
  <si>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</si>
  <si>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</si>
  <si>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</si>
  <si>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</si>
  <si>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</si>
  <si>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</si>
  <si>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</si>
  <si>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</si>
  <si>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</si>
  <si>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</si>
  <si>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</si>
  <si>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</si>
  <si>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</si>
  <si>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</si>
  <si>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</si>
  <si>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</si>
  <si>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</si>
  <si>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</si>
  <si>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</si>
  <si>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</si>
  <si>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</si>
  <si>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</si>
  <si>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</si>
  <si>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</si>
  <si>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</si>
  <si>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</si>
  <si>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</si>
  <si>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</si>
  <si>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</si>
  <si>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</si>
  <si>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</si>
  <si>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</si>
  <si>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</si>
  <si>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</si>
  <si>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</si>
  <si>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</si>
  <si>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</si>
  <si>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</si>
  <si>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</si>
  <si>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</si>
  <si>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</si>
  <si>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</si>
  <si>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</si>
  <si>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</si>
  <si>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</si>
  <si>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</si>
  <si>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</si>
  <si>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</si>
  <si>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</si>
  <si>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</si>
  <si>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</si>
  <si>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</si>
  <si>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</si>
  <si>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</si>
  <si>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</si>
  <si>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</si>
  <si>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</si>
  <si>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</si>
  <si>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</si>
  <si>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</si>
  <si>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</si>
  <si>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</si>
  <si>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</si>
  <si>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</si>
  <si>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</si>
  <si>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</si>
  <si>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</si>
  <si>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</si>
  <si>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</si>
  <si>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</si>
  <si>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</si>
  <si>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</si>
  <si>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</si>
  <si>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</si>
  <si>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</si>
  <si>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</si>
  <si>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</si>
  <si>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</si>
  <si>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</si>
  <si>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</si>
  <si>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</si>
  <si>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</si>
  <si>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</si>
  <si>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</si>
  <si>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</si>
  <si>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</si>
  <si>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</si>
  <si>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</si>
  <si>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</si>
  <si>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</si>
  <si>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</si>
  <si>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</si>
  <si>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</si>
  <si>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</si>
  <si>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</si>
  <si>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</si>
  <si>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</si>
  <si>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</si>
  <si>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</si>
  <si>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</si>
  <si>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</si>
  <si>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</si>
  <si>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</si>
  <si>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</si>
  <si>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</si>
  <si>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</si>
  <si>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</si>
  <si>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</si>
  <si>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</si>
  <si>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</si>
  <si>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</si>
  <si>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</si>
  <si>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</si>
  <si>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</si>
  <si>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</si>
  <si>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</si>
  <si>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</si>
  <si>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</si>
  <si>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</si>
  <si>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</si>
  <si>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</si>
  <si>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</si>
  <si>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</si>
  <si>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</si>
  <si>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</si>
  <si>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</si>
  <si>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</si>
  <si>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</si>
  <si>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</si>
  <si>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</si>
  <si>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</si>
  <si>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</si>
  <si>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</si>
  <si>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</si>
  <si>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</si>
  <si>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</si>
  <si>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</si>
  <si>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</si>
  <si>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</si>
  <si>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</si>
  <si>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</si>
  <si>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</si>
  <si>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</si>
  <si>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</si>
  <si>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</si>
  <si>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</si>
  <si>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</si>
  <si>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</si>
  <si>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</si>
  <si>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</si>
  <si>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</si>
  <si>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</si>
  <si>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</si>
  <si>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</si>
  <si>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</si>
  <si>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</si>
  <si>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</si>
  <si>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</si>
  <si>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</si>
  <si>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</si>
  <si>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</si>
  <si>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</si>
  <si>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</si>
  <si>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</si>
  <si>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</si>
  <si>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</si>
  <si>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</si>
  <si>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</si>
  <si>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</si>
  <si>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</si>
  <si>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</si>
  <si>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</si>
  <si>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</si>
  <si>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</si>
  <si>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</si>
  <si>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</si>
  <si>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</si>
  <si>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</si>
  <si>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</si>
  <si>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</si>
  <si>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</si>
  <si>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</si>
  <si>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</si>
  <si>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</si>
  <si>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</si>
  <si>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</si>
  <si>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</si>
  <si>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</si>
  <si>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</si>
  <si>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</si>
  <si>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</si>
  <si>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</si>
  <si>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</si>
  <si>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</si>
  <si>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</si>
  <si>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</si>
  <si>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</si>
  <si>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</si>
  <si>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</si>
  <si>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</si>
  <si>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</si>
  <si>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</si>
  <si>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</si>
  <si>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</si>
  <si>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</si>
  <si>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</si>
  <si>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</si>
  <si>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</si>
  <si>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</si>
  <si>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</si>
  <si>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</si>
  <si>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</si>
  <si>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</si>
  <si>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</si>
  <si>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</si>
  <si>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</si>
  <si>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</si>
  <si>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</si>
  <si>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</si>
  <si>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</si>
  <si>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</si>
  <si>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</si>
  <si>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</si>
  <si>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</si>
  <si>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</si>
  <si>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</si>
  <si>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</si>
  <si>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</si>
  <si>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</si>
  <si>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</si>
  <si>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</si>
  <si>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</si>
  <si>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</si>
  <si>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</si>
  <si>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</si>
  <si>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</si>
  <si>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</si>
  <si>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</si>
  <si>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</si>
  <si>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</si>
  <si>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</si>
  <si>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</si>
  <si>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</si>
  <si>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</si>
  <si>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</si>
  <si>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</si>
  <si>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</si>
  <si>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</si>
  <si>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</si>
  <si>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</si>
  <si>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</si>
  <si>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</si>
  <si>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</si>
  <si>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</si>
  <si>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</si>
  <si>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</si>
  <si>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</si>
  <si>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</si>
  <si>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</si>
  <si>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</si>
  <si>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</si>
  <si>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</si>
  <si>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</si>
  <si>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</si>
  <si>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</si>
  <si>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</si>
  <si>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</si>
  <si>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</si>
  <si>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</si>
  <si>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</si>
  <si>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</si>
  <si>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</si>
  <si>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</si>
  <si>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</si>
  <si>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</si>
  <si>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</si>
  <si>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</si>
  <si>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</si>
  <si>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</si>
  <si>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</si>
  <si>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</si>
  <si>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</si>
  <si>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</si>
  <si>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</si>
  <si>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</si>
  <si>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</si>
  <si>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</si>
  <si>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</si>
  <si>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</si>
  <si>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</si>
  <si>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</si>
  <si>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</si>
  <si>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</si>
  <si>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</si>
  <si>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</si>
  <si>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</si>
  <si>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</si>
  <si>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</si>
  <si>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</si>
  <si>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</si>
  <si>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</si>
  <si>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</si>
  <si>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</si>
  <si>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</si>
  <si>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</si>
  <si>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</si>
  <si>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</si>
  <si>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</si>
  <si>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</si>
  <si>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</si>
  <si>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</si>
  <si>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</si>
  <si>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</si>
  <si>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</si>
  <si>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</si>
  <si>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</si>
  <si>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</si>
  <si>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</si>
  <si>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</si>
  <si>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</si>
  <si>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</si>
  <si>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</si>
  <si>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</si>
  <si>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</si>
  <si>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</si>
  <si>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</si>
  <si>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</si>
  <si>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</si>
  <si>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</si>
  <si>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</si>
  <si>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</si>
  <si>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</si>
  <si>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</si>
  <si>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</si>
  <si>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</si>
  <si>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</si>
  <si>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</si>
  <si>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</si>
  <si>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</si>
  <si>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</si>
  <si>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</si>
  <si>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</si>
  <si>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</si>
  <si>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</si>
  <si>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</si>
  <si>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</si>
  <si>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</si>
  <si>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</si>
  <si>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</si>
  <si>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</si>
  <si>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</si>
  <si>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</si>
  <si>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</si>
  <si>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</si>
  <si>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</si>
  <si>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</si>
  <si>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</si>
  <si>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</si>
  <si>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</si>
  <si>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</si>
  <si>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</si>
  <si>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</si>
  <si>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</si>
  <si>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</si>
  <si>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</si>
  <si>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</si>
  <si>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</si>
  <si>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</si>
  <si>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</si>
  <si>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</si>
  <si>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</si>
  <si>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</si>
  <si>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</si>
  <si>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</si>
  <si>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</si>
  <si>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</si>
  <si>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</si>
  <si>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</si>
  <si>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</si>
  <si>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</si>
  <si>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</si>
  <si>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</si>
  <si>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</si>
  <si>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</si>
  <si>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</si>
  <si>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</si>
  <si>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</si>
  <si>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</si>
  <si>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</si>
  <si>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</si>
  <si>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</si>
  <si>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</si>
  <si>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</si>
  <si>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</si>
  <si>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</si>
  <si>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</si>
  <si>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</si>
  <si>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</si>
  <si>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</si>
  <si>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</si>
  <si>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</si>
  <si>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</si>
  <si>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</si>
  <si>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</si>
  <si>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</si>
  <si>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</si>
  <si>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</si>
  <si>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</si>
  <si>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</si>
  <si>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</si>
  <si>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</si>
  <si>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</si>
  <si>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</si>
  <si>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</si>
  <si>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</si>
  <si>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</si>
  <si>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</si>
  <si>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</si>
  <si>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</si>
  <si>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</si>
  <si>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</si>
  <si>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</si>
  <si>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</si>
  <si>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</si>
  <si>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</si>
  <si>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</si>
  <si>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</si>
  <si>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</si>
  <si>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</si>
  <si>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</si>
  <si>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</si>
  <si>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</si>
  <si>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</si>
  <si>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</si>
  <si>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</si>
  <si>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</si>
  <si>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</si>
  <si>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</si>
  <si>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</si>
  <si>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</si>
  <si>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</si>
  <si>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</si>
  <si>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</si>
  <si>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</si>
  <si>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</si>
  <si>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</si>
  <si>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</si>
  <si>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</si>
  <si>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</si>
  <si>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</si>
  <si>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</si>
  <si>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</si>
  <si>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</si>
  <si>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</si>
  <si>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</si>
  <si>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</si>
  <si>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</si>
  <si>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</si>
  <si>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</si>
  <si>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</si>
  <si>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</si>
  <si>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</si>
  <si>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</si>
  <si>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</si>
  <si>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</si>
  <si>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</si>
  <si>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</si>
  <si>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</si>
  <si>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</si>
  <si>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</si>
  <si>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</si>
  <si>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</si>
  <si>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</si>
  <si>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</si>
  <si>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</si>
  <si>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</si>
  <si>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</si>
  <si>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</si>
  <si>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</si>
  <si>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</si>
  <si>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</si>
  <si>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</si>
  <si>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</si>
  <si>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</si>
  <si>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</si>
  <si>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</si>
  <si>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</si>
  <si>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</si>
  <si>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</si>
  <si>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</si>
  <si>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</si>
  <si>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</si>
  <si>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</si>
  <si>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</si>
  <si>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</si>
  <si>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</si>
  <si>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</si>
  <si>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</si>
  <si>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</si>
  <si>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</si>
  <si>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</si>
  <si>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</si>
  <si>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</si>
  <si>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</si>
  <si>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</si>
  <si>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</si>
  <si>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</si>
  <si>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</si>
  <si>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</si>
  <si>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</si>
  <si>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</si>
  <si>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</si>
  <si>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</si>
  <si>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</si>
  <si>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</si>
  <si>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</si>
  <si>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</si>
  <si>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</si>
  <si>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</si>
  <si>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</si>
  <si>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</si>
  <si>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</si>
  <si>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</si>
  <si>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</si>
  <si>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</si>
  <si>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</si>
  <si>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</si>
  <si>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</si>
  <si>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</si>
  <si>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</si>
  <si>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</si>
  <si>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</si>
  <si>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</si>
  <si>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</si>
  <si>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</si>
  <si>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</si>
  <si>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</si>
  <si>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</si>
  <si>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</si>
  <si>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</si>
  <si>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</si>
  <si>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</si>
  <si>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</si>
  <si>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</si>
  <si>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</si>
  <si>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</si>
  <si>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</si>
  <si>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</si>
  <si>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</si>
  <si>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</si>
  <si>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</si>
  <si>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</si>
  <si>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</si>
  <si>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</si>
  <si>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</si>
  <si>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</si>
  <si>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</si>
  <si>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</si>
  <si>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</si>
  <si>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</si>
  <si>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</si>
  <si>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</si>
  <si>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</si>
  <si>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</si>
  <si>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</si>
  <si>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</si>
  <si>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</si>
  <si>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</si>
  <si>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</si>
  <si>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</si>
  <si>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</si>
  <si>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</si>
  <si>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</si>
  <si>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</si>
  <si>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</si>
  <si>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</si>
  <si>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</si>
  <si>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</si>
  <si>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</si>
  <si>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</si>
  <si>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</si>
  <si>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</si>
  <si>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</si>
  <si>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</si>
  <si>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</si>
  <si>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</si>
  <si>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</si>
  <si>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</si>
  <si>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</si>
  <si>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</si>
  <si>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</si>
  <si>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</si>
  <si>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</si>
  <si>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</si>
  <si>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</si>
  <si>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</si>
  <si>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</si>
  <si>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</si>
  <si>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</si>
  <si>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</si>
  <si>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</si>
  <si>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</si>
  <si>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</si>
  <si>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</si>
  <si>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</si>
  <si>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</si>
  <si>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</si>
  <si>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</si>
  <si>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</si>
  <si>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</si>
  <si>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</si>
  <si>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</si>
  <si>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</si>
  <si>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</si>
  <si>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</si>
  <si>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</si>
  <si>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</si>
  <si>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</si>
  <si>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</si>
  <si>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</si>
  <si>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</si>
  <si>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</si>
  <si>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</si>
  <si>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</si>
  <si>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</si>
  <si>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</si>
  <si>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</si>
  <si>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</si>
  <si>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</si>
  <si>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</si>
  <si>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</si>
  <si>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</si>
  <si>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</si>
  <si>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</si>
  <si>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</si>
  <si>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</si>
  <si>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</si>
  <si>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</si>
  <si>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</si>
  <si>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</si>
  <si>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</si>
  <si>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</si>
  <si>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</si>
  <si>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</si>
  <si>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</si>
  <si>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</si>
  <si>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</si>
  <si>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</si>
  <si>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</si>
  <si>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</si>
  <si>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</si>
  <si>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</si>
  <si>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</si>
  <si>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</si>
  <si>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</si>
  <si>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</si>
  <si>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</si>
  <si>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</si>
  <si>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</si>
  <si>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</si>
  <si>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</si>
  <si>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</si>
  <si>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</si>
  <si>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</si>
  <si>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</si>
  <si>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</si>
  <si>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</si>
  <si>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</si>
  <si>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</si>
  <si>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</si>
  <si>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</si>
  <si>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</si>
  <si>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</si>
  <si>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</si>
  <si>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</si>
  <si>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</si>
  <si>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</si>
  <si>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</si>
  <si>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</si>
  <si>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</si>
  <si>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</si>
  <si>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</si>
  <si>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</si>
  <si>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</si>
  <si>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</si>
  <si>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</si>
  <si>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</si>
  <si>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</si>
  <si>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</si>
  <si>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</si>
  <si>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</si>
  <si>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</si>
  <si>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</si>
  <si>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</si>
  <si>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</si>
  <si>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</si>
  <si>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</si>
  <si>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</si>
  <si>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</si>
  <si>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</si>
  <si>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</si>
  <si>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</si>
  <si>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</si>
  <si>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</si>
  <si>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</si>
  <si>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</si>
  <si>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</si>
  <si>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</si>
  <si>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</si>
  <si>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</si>
  <si>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</si>
  <si>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</si>
  <si>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</si>
  <si>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</si>
  <si>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</si>
  <si>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</si>
  <si>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</si>
  <si>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</si>
  <si>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</si>
  <si>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</si>
  <si>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</si>
  <si>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</si>
  <si>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</si>
  <si>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</si>
  <si>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</si>
  <si>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</si>
  <si>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</si>
  <si>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</si>
  <si>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</si>
  <si>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</si>
  <si>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</si>
  <si>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</si>
  <si>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</si>
  <si>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</si>
  <si>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</si>
  <si>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</si>
  <si>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</si>
  <si>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</si>
  <si>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</si>
  <si>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</si>
  <si>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</si>
  <si>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</si>
  <si>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</si>
  <si>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</si>
  <si>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</si>
  <si>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</si>
  <si>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</si>
  <si>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</si>
  <si>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</si>
  <si>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</si>
  <si>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</si>
  <si>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</si>
  <si>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</si>
  <si>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</si>
  <si>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</si>
  <si>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</si>
  <si>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</si>
  <si>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</si>
  <si>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</si>
  <si>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</si>
  <si>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</si>
  <si>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</si>
  <si>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</si>
  <si>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</si>
  <si>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</si>
  <si>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</si>
  <si>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</si>
  <si>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</si>
  <si>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</si>
  <si>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</si>
  <si>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</si>
  <si>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</si>
  <si>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</si>
  <si>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</si>
  <si>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</si>
  <si>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</si>
  <si>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</si>
  <si>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</si>
  <si>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</si>
  <si>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</si>
  <si>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</si>
  <si>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</si>
  <si>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</si>
  <si>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</si>
  <si>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</si>
  <si>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</si>
  <si>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</si>
  <si>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</si>
  <si>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</si>
  <si>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</si>
  <si>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</si>
  <si>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</si>
  <si>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</si>
  <si>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</si>
  <si>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</si>
  <si>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</si>
  <si>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</si>
  <si>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</si>
  <si>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</si>
  <si>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</si>
  <si>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</si>
  <si>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</si>
  <si>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</si>
  <si>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</si>
  <si>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</si>
  <si>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</si>
  <si>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</si>
  <si>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</si>
  <si>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</si>
  <si>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</si>
  <si>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</si>
  <si>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</si>
  <si>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</si>
  <si>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</si>
  <si>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</si>
  <si>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</si>
  <si>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</si>
  <si>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</si>
  <si>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</si>
  <si>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</si>
  <si>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</si>
  <si>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</si>
  <si>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</si>
  <si>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</si>
  <si>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</si>
  <si>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</si>
  <si>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</si>
  <si>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</si>
  <si>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</si>
  <si>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</si>
  <si>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</si>
  <si>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</si>
  <si>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</si>
  <si>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</si>
  <si>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</si>
  <si>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</si>
  <si>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</si>
  <si>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</si>
  <si>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</si>
  <si>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</si>
  <si>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</si>
  <si>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</si>
  <si>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</si>
  <si>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</si>
  <si>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</si>
  <si>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</si>
  <si>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</si>
  <si>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</si>
  <si>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</si>
  <si>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</si>
  <si>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</si>
  <si>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</si>
  <si>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</si>
  <si>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</si>
  <si>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</si>
  <si>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</si>
  <si>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</si>
  <si>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</si>
  <si>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</si>
  <si>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</si>
  <si>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</si>
  <si>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</si>
  <si>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</si>
  <si>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</si>
  <si>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</si>
  <si>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</si>
  <si>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</si>
  <si>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</si>
  <si>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</si>
  <si>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</si>
  <si>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</si>
  <si>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</si>
  <si>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</si>
  <si>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</si>
  <si>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</si>
  <si>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</si>
  <si>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</si>
  <si>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</si>
  <si>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</si>
  <si>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</si>
  <si>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</si>
  <si>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</si>
  <si>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</si>
  <si>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</si>
  <si>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</si>
  <si>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</si>
  <si>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</si>
  <si>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</si>
  <si>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</si>
  <si>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</si>
  <si>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</si>
  <si>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</si>
  <si>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</si>
  <si>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</si>
  <si>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</si>
  <si>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</si>
  <si>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</si>
  <si>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</si>
  <si>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</si>
  <si>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</si>
  <si>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</si>
  <si>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</si>
  <si>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</si>
  <si>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</si>
  <si>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</si>
  <si>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</si>
  <si>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</si>
  <si>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</si>
  <si>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</si>
  <si>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</si>
  <si>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</si>
  <si>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</si>
  <si>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</si>
  <si>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</si>
  <si>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</si>
  <si>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</si>
  <si>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</si>
  <si>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</si>
  <si>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</si>
  <si>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</si>
  <si>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</si>
  <si>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</si>
  <si>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</si>
  <si>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</si>
  <si>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</si>
  <si>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</si>
  <si>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</si>
  <si>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</si>
  <si>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</si>
  <si>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</si>
  <si>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</si>
  <si>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</si>
  <si>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</si>
  <si>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</si>
  <si>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</si>
  <si>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</si>
  <si>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</si>
  <si>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</si>
  <si>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</si>
  <si>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</si>
  <si>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</si>
  <si>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</si>
  <si>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</si>
  <si>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</si>
  <si>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</si>
  <si>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</si>
  <si>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</si>
  <si>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</si>
  <si>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</si>
  <si>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</si>
  <si>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</si>
  <si>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</si>
  <si>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</si>
  <si>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</si>
  <si>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</si>
  <si>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</si>
  <si>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</si>
  <si>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</si>
  <si>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</si>
  <si>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</si>
  <si>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</si>
  <si>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</si>
  <si>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</si>
  <si>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</si>
  <si>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</si>
  <si>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</si>
  <si>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</si>
  <si>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</si>
  <si>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</si>
  <si>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</si>
  <si>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</si>
  <si>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</si>
  <si>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</si>
  <si>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</si>
  <si>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</si>
  <si>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</si>
  <si>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</si>
  <si>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</si>
  <si>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</si>
  <si>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</si>
  <si>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</si>
  <si>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</si>
  <si>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</si>
  <si>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</si>
  <si>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</si>
  <si>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</si>
  <si>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</si>
  <si>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</si>
  <si>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</si>
  <si>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</si>
  <si>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</si>
  <si>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</si>
  <si>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</si>
  <si>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</si>
  <si>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</si>
  <si>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</si>
  <si>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</si>
  <si>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</si>
  <si>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</si>
  <si>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</si>
  <si>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</si>
  <si>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</si>
  <si>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</si>
  <si>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</si>
  <si>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</si>
  <si>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</si>
  <si>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</si>
  <si>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</si>
  <si>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</si>
  <si>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</si>
  <si>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</si>
  <si>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</si>
  <si>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</si>
  <si>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</si>
  <si>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</si>
  <si>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</si>
  <si>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</si>
  <si>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</si>
  <si>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</si>
  <si>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</si>
  <si>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</si>
  <si>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</si>
  <si>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</si>
  <si>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</si>
  <si>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</si>
  <si>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</si>
  <si>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</si>
  <si>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</si>
  <si>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</si>
  <si>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</si>
  <si>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</si>
  <si>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</si>
  <si>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</si>
  <si>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</si>
  <si>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</si>
  <si>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</si>
  <si>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</si>
  <si>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</si>
  <si>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</si>
  <si>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</si>
  <si>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</si>
  <si>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</si>
  <si>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</si>
  <si>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</si>
  <si>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</si>
  <si>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</si>
  <si>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</si>
  <si>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</si>
  <si>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</si>
  <si>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</si>
  <si>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</si>
  <si>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</si>
  <si>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</si>
  <si>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</si>
  <si>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</si>
  <si>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</si>
  <si>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</si>
  <si>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</si>
  <si>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</si>
  <si>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</si>
  <si>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</si>
  <si>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</si>
  <si>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</si>
  <si>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</si>
  <si>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</si>
  <si>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</si>
  <si>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</si>
  <si>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</si>
  <si>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</si>
  <si>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</si>
  <si>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</si>
  <si>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</si>
  <si>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</si>
  <si>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</si>
  <si>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</si>
  <si>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</si>
  <si>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</si>
  <si>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</si>
  <si>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</si>
  <si>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</si>
  <si>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</si>
  <si>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</si>
  <si>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</si>
  <si>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</si>
  <si>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</si>
  <si>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</si>
  <si>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</si>
  <si>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</si>
  <si>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</si>
  <si>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</si>
  <si>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</si>
  <si>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</si>
  <si>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</si>
  <si>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</si>
  <si>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</si>
  <si>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</si>
  <si>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</si>
  <si>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</si>
  <si>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</si>
  <si>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</si>
  <si>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</si>
  <si>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</si>
  <si>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</si>
  <si>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</si>
  <si>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</si>
  <si>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</si>
  <si>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</si>
  <si>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</si>
  <si>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</si>
  <si>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</si>
  <si>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</si>
  <si>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</si>
  <si>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</si>
  <si>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</si>
  <si>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</si>
  <si>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</si>
  <si>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</si>
  <si>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</si>
  <si>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</si>
  <si>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</si>
  <si>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</si>
  <si>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</si>
  <si>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</si>
  <si>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</si>
  <si>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</si>
  <si>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</si>
  <si>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</si>
  <si>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</si>
  <si>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</si>
  <si>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</si>
  <si>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</si>
  <si>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</si>
  <si>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</si>
  <si>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</si>
  <si>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</si>
  <si>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</si>
  <si>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</si>
  <si>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</si>
  <si>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</si>
  <si>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</si>
  <si>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</si>
  <si>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</si>
  <si>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</si>
  <si>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</si>
  <si>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</si>
  <si>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</si>
  <si>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</si>
  <si>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</si>
  <si>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</si>
  <si>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</si>
  <si>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</si>
  <si>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</si>
  <si>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</si>
  <si>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</si>
  <si>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</si>
  <si>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</si>
  <si>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</si>
  <si>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</si>
  <si>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</si>
  <si>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</si>
  <si>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</si>
  <si>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</si>
  <si>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</si>
  <si>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</si>
  <si>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</si>
  <si>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</si>
  <si>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</si>
  <si>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</si>
  <si>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</si>
  <si>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</si>
  <si>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</si>
  <si>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</si>
  <si>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</si>
  <si>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</si>
  <si>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</si>
  <si>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</si>
  <si>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</si>
  <si>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</si>
  <si>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</si>
  <si>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</si>
  <si>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</si>
  <si>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</si>
  <si>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</si>
  <si>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</si>
  <si>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</si>
  <si>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</si>
  <si>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</si>
  <si>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</si>
  <si>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</si>
  <si>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</si>
  <si>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</si>
  <si>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</si>
  <si>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</si>
  <si>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</si>
  <si>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</si>
  <si>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</si>
  <si>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</si>
  <si>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</si>
  <si>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</si>
  <si>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</si>
  <si>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</si>
  <si>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</si>
  <si>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</si>
  <si>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</si>
  <si>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</si>
  <si>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</si>
  <si>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</si>
  <si>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</si>
  <si>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</si>
  <si>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</si>
  <si>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</si>
  <si>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</si>
  <si>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</si>
  <si>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</si>
  <si>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</si>
  <si>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</si>
  <si>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</si>
  <si>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</si>
  <si>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</si>
  <si>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</si>
  <si>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</si>
  <si>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</si>
  <si>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</si>
  <si>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</si>
  <si>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</si>
  <si>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</si>
  <si>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</si>
  <si>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</si>
  <si>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</si>
  <si>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</si>
  <si>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</si>
  <si>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</si>
  <si>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</si>
  <si>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</si>
  <si>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</si>
  <si>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</si>
  <si>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</si>
  <si>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</si>
  <si>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</si>
  <si>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</si>
  <si>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</si>
  <si>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</si>
  <si>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</si>
  <si>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</si>
  <si>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</si>
  <si>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</si>
  <si>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</si>
  <si>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</si>
  <si>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</si>
  <si>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</si>
  <si>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</si>
  <si>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</si>
  <si>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</si>
  <si>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</si>
  <si>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</si>
  <si>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</si>
  <si>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</si>
  <si>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</si>
  <si>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</si>
  <si>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</si>
  <si>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</si>
  <si>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</si>
  <si>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</si>
  <si>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</si>
  <si>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</si>
  <si>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</si>
  <si>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</si>
  <si>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</si>
  <si>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</si>
  <si>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</si>
  <si>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</si>
  <si>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</si>
  <si>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</si>
  <si>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</si>
  <si>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</si>
  <si>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</si>
  <si>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</si>
  <si>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</si>
  <si>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</si>
  <si>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</si>
  <si>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</si>
  <si>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</si>
  <si>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</si>
  <si>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</si>
  <si>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</si>
  <si>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</si>
  <si>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</si>
  <si>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</si>
  <si>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</si>
  <si>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</si>
  <si>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</si>
  <si>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</si>
  <si>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</si>
  <si>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</si>
  <si>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</si>
  <si>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</si>
  <si>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</si>
  <si>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</si>
  <si>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</si>
  <si>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</si>
  <si>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</si>
  <si>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</si>
  <si>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</si>
  <si>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</si>
  <si>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</si>
  <si>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</si>
  <si>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</si>
  <si>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</si>
  <si>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</si>
  <si>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</si>
  <si>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</si>
  <si>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</si>
  <si>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</si>
  <si>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</si>
  <si>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</si>
  <si>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</si>
  <si>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</si>
  <si>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</si>
  <si>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</si>
  <si>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</si>
  <si>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</si>
  <si>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</si>
  <si>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</si>
  <si>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</si>
  <si>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</si>
  <si>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</si>
  <si>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</si>
  <si>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</si>
  <si>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</si>
  <si>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</si>
  <si>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</si>
  <si>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</si>
  <si>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</si>
  <si>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</si>
  <si>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</si>
  <si>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</si>
  <si>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</si>
  <si>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</si>
  <si>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</si>
  <si>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</si>
  <si>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</si>
  <si>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</si>
  <si>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</si>
  <si>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</si>
  <si>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</si>
  <si>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</si>
  <si>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</si>
  <si>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</si>
  <si>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</si>
  <si>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</si>
  <si>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</si>
  <si>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</si>
  <si>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</si>
  <si>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</si>
  <si>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</si>
  <si>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</si>
  <si>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</si>
  <si>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</si>
  <si>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</si>
  <si>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</si>
  <si>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</si>
  <si>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</si>
  <si>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</si>
  <si>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</si>
  <si>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</si>
  <si>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</si>
  <si>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</si>
  <si>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</si>
  <si>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</si>
  <si>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</si>
  <si>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</si>
  <si>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</si>
  <si>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</si>
  <si>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</si>
  <si>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</si>
  <si>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</si>
  <si>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</si>
  <si>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</si>
  <si>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</si>
  <si>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</si>
  <si>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</si>
  <si>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</si>
  <si>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</si>
  <si>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</si>
  <si>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</si>
  <si>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</si>
  <si>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</si>
  <si>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</si>
  <si>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</si>
  <si>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</si>
  <si>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</si>
  <si>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</si>
  <si>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</si>
  <si>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</si>
  <si>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</si>
  <si>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</si>
  <si>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</si>
  <si>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</si>
  <si>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</si>
  <si>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</si>
  <si>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</si>
  <si>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</si>
  <si>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</si>
  <si>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</si>
  <si>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</si>
  <si>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</si>
  <si>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</si>
  <si>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</si>
  <si>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</si>
  <si>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</si>
  <si>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</si>
  <si>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</si>
  <si>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</si>
  <si>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</si>
  <si>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</si>
  <si>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</si>
  <si>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</si>
  <si>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</si>
  <si>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</si>
  <si>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</si>
  <si>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</si>
  <si>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</si>
  <si>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</si>
  <si>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</si>
  <si>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</si>
  <si>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</si>
  <si>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</si>
  <si>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</si>
  <si>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</si>
  <si>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</si>
  <si>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</si>
  <si>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</si>
  <si>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</si>
  <si>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</si>
  <si>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</si>
  <si>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</si>
  <si>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</si>
  <si>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</si>
  <si>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</si>
  <si>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</si>
  <si>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</si>
  <si>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</si>
  <si>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</si>
  <si>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</si>
  <si>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</si>
  <si>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</si>
  <si>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</si>
  <si>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</si>
  <si>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</si>
  <si>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</si>
  <si>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</si>
  <si>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</si>
  <si>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</si>
  <si>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</si>
  <si>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</si>
  <si>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</si>
  <si>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</si>
  <si>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</si>
  <si>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</si>
  <si>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</si>
  <si>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</si>
  <si>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</si>
  <si>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</si>
  <si>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</si>
  <si>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</si>
  <si>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</si>
  <si>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</si>
  <si>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</si>
  <si>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</si>
  <si>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</si>
  <si>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</si>
  <si>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</si>
  <si>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</si>
  <si>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</si>
  <si>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</si>
  <si>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</si>
  <si>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</si>
  <si>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</si>
  <si>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</si>
  <si>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</si>
  <si>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</si>
  <si>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</si>
  <si>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</si>
  <si>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</si>
  <si>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</si>
  <si>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</si>
  <si>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</si>
  <si>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</si>
  <si>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</si>
  <si>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</si>
  <si>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</si>
  <si>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</si>
  <si>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</si>
  <si>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</si>
  <si>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</si>
  <si>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</si>
  <si>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</si>
  <si>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</si>
  <si>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</si>
  <si>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</si>
  <si>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</si>
  <si>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</si>
  <si>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</si>
  <si>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</si>
  <si>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</si>
  <si>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</si>
  <si>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</si>
  <si>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</si>
  <si>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</si>
  <si>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</si>
  <si>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</si>
  <si>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</si>
  <si>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</si>
  <si>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</si>
  <si>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</si>
  <si>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</si>
  <si>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</si>
  <si>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</si>
  <si>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</si>
  <si>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</si>
  <si>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</si>
  <si>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</si>
  <si>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</si>
  <si>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</si>
  <si>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</si>
  <si>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</si>
  <si>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</si>
  <si>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</si>
  <si>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</si>
  <si>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</si>
  <si>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</si>
  <si>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</si>
  <si>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</si>
  <si>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</si>
  <si>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</si>
  <si>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</si>
  <si>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</si>
  <si>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</si>
  <si>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</si>
  <si>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</si>
  <si>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</si>
  <si>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</si>
  <si>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</si>
  <si>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</si>
  <si>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</si>
  <si>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</si>
  <si>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</si>
  <si>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</si>
  <si>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</si>
  <si>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</si>
  <si>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</si>
  <si>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</si>
  <si>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</si>
  <si>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</si>
  <si>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</si>
  <si>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</si>
  <si>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</si>
  <si>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</si>
  <si>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</si>
  <si>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</si>
  <si>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</si>
  <si>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</si>
  <si>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</si>
  <si>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</si>
  <si>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</si>
  <si>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</si>
  <si>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</si>
  <si>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</si>
  <si>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</si>
  <si>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</si>
  <si>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</si>
  <si>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</si>
  <si>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</si>
  <si>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</si>
  <si>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</si>
  <si>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</si>
  <si>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</si>
  <si>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</si>
  <si>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</si>
  <si>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</si>
  <si>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</si>
  <si>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</si>
  <si>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</si>
  <si>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</si>
  <si>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</si>
  <si>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</si>
  <si>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</si>
  <si>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</si>
  <si>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</si>
  <si>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</si>
  <si>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</si>
  <si>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</si>
  <si>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</si>
  <si>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</si>
  <si>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</si>
  <si>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</si>
  <si>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</si>
  <si>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</si>
  <si>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</si>
  <si>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</si>
  <si>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</si>
  <si>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</si>
  <si>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</si>
  <si>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</si>
  <si>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</si>
  <si>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</si>
  <si>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</si>
  <si>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</si>
  <si>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</si>
  <si>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</si>
  <si>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</si>
  <si>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</si>
  <si>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</si>
  <si>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</si>
  <si>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</si>
  <si>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</si>
  <si>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</si>
  <si>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</si>
  <si>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</si>
  <si>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</si>
  <si>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</si>
  <si>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</si>
  <si>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</si>
  <si>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</si>
  <si>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</si>
  <si>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</si>
  <si>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</si>
  <si>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</si>
  <si>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</si>
  <si>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</si>
  <si>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</si>
  <si>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</si>
  <si>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</si>
  <si>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</si>
  <si>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</si>
  <si>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</si>
  <si>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</si>
  <si>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</si>
  <si>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</si>
  <si>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</si>
  <si>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</si>
  <si>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</si>
  <si>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</si>
  <si>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</si>
  <si>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</si>
  <si>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</si>
  <si>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</si>
  <si>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</si>
  <si>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</si>
  <si>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</si>
  <si>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</si>
  <si>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</si>
  <si>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</si>
  <si>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</si>
  <si>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</si>
  <si>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</si>
  <si>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</si>
  <si>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</si>
  <si>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</si>
  <si>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</si>
  <si>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</si>
  <si>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</si>
  <si>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</si>
  <si>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</si>
  <si>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</si>
  <si>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</si>
  <si>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</si>
  <si>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</si>
  <si>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</si>
  <si>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</si>
  <si>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</si>
  <si>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</si>
  <si>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</si>
  <si>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</si>
  <si>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</si>
  <si>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</si>
  <si>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</si>
  <si>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</si>
  <si>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</si>
  <si>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</si>
  <si>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</si>
  <si>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</si>
  <si>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</si>
  <si>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</si>
  <si>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</si>
  <si>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</si>
  <si>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</si>
  <si>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</si>
  <si>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</si>
  <si>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</si>
  <si>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</si>
  <si>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</si>
  <si>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</si>
  <si>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</si>
  <si>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</si>
  <si>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</si>
  <si>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</si>
  <si>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</si>
  <si>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</si>
  <si>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</si>
  <si>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</si>
  <si>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</si>
  <si>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</si>
  <si>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</si>
  <si>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</si>
  <si>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</si>
  <si>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</si>
  <si>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</si>
  <si>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</si>
  <si>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</si>
  <si>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</si>
  <si>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</si>
  <si>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</si>
  <si>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</si>
  <si>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</si>
  <si>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</si>
  <si>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</si>
  <si>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</si>
  <si>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</si>
  <si>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</si>
  <si>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</si>
  <si>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</si>
  <si>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</si>
  <si>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</si>
  <si>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</si>
  <si>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</si>
  <si>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</si>
  <si>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</si>
  <si>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</si>
  <si>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</si>
  <si>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</si>
  <si>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</si>
  <si>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</si>
  <si>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</si>
  <si>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</si>
  <si>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</si>
  <si>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</si>
  <si>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</si>
  <si>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</si>
  <si>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</si>
  <si>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</si>
  <si>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</si>
  <si>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</si>
  <si>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</si>
  <si>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</si>
  <si>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</si>
  <si>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</si>
  <si>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</si>
  <si>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</si>
  <si>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</si>
  <si>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</si>
  <si>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</si>
  <si>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</si>
  <si>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</si>
  <si>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</si>
  <si>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</si>
  <si>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</si>
  <si>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</si>
  <si>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</si>
  <si>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</si>
  <si>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</si>
  <si>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</si>
  <si>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</si>
  <si>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</si>
  <si>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</si>
  <si>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</si>
  <si>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</si>
  <si>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</si>
  <si>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</si>
  <si>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</si>
  <si>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</si>
  <si>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</si>
  <si>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</si>
  <si>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</si>
  <si>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</si>
  <si>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</si>
  <si>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</si>
  <si>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</si>
  <si>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</si>
  <si>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</si>
  <si>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</si>
  <si>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</si>
  <si>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</si>
  <si>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</si>
  <si>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</si>
  <si>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</si>
  <si>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</si>
  <si>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</si>
  <si>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</si>
  <si>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</si>
  <si>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</si>
  <si>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</si>
  <si>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</si>
  <si>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</si>
  <si>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</si>
  <si>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</si>
  <si>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</si>
  <si>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</si>
  <si>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</si>
  <si>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</si>
  <si>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</si>
  <si>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</si>
  <si>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</si>
  <si>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</si>
  <si>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</si>
  <si>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</si>
  <si>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</si>
  <si>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</si>
  <si>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</si>
  <si>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</si>
  <si>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</si>
  <si>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</si>
  <si>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</si>
  <si>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</si>
  <si>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</si>
  <si>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</si>
  <si>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</si>
  <si>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</si>
  <si>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</si>
  <si>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</si>
  <si>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</si>
  <si>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</si>
  <si>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</si>
  <si>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</si>
  <si>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</si>
  <si>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</si>
  <si>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</si>
  <si>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</si>
  <si>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</si>
  <si>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</si>
  <si>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</si>
  <si>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</si>
  <si>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</si>
  <si>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</si>
  <si>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</si>
  <si>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</si>
  <si>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</si>
  <si>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</si>
  <si>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</si>
  <si>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</si>
  <si>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</si>
  <si>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</si>
  <si>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</si>
  <si>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</si>
  <si>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</si>
  <si>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</si>
  <si>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</si>
  <si>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</si>
  <si>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</si>
  <si>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</si>
  <si>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</si>
  <si>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</si>
  <si>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</si>
  <si>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</si>
  <si>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</si>
  <si>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</si>
  <si>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</si>
  <si>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</si>
  <si>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</si>
  <si>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</si>
  <si>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</si>
  <si>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</si>
  <si>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</si>
  <si>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</si>
  <si>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</si>
  <si>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</si>
  <si>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</si>
  <si>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</si>
  <si>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</si>
  <si>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</si>
  <si>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</si>
  <si>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</si>
  <si>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</si>
  <si>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</si>
  <si>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</si>
  <si>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</si>
  <si>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</si>
  <si>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</si>
  <si>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</si>
  <si>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</si>
  <si>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</si>
  <si>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</si>
  <si>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</si>
  <si>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</si>
  <si>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</si>
  <si>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</si>
  <si>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</si>
  <si>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</si>
  <si>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</si>
  <si>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</si>
  <si>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</si>
  <si>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</si>
  <si>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</si>
  <si>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</si>
  <si>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</si>
  <si>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</si>
  <si>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</si>
  <si>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</si>
  <si>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</si>
  <si>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</si>
  <si>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</si>
  <si>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</si>
  <si>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</si>
  <si>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</si>
  <si>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</si>
  <si>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</si>
  <si>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</si>
  <si>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</si>
  <si>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</si>
  <si>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</si>
  <si>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</si>
  <si>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</si>
  <si>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</si>
  <si>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</si>
  <si>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</si>
  <si>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</si>
  <si>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</si>
  <si>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</si>
  <si>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</si>
  <si>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</si>
  <si>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</si>
  <si>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</si>
  <si>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</si>
  <si>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</si>
  <si>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</si>
  <si>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</si>
  <si>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</si>
  <si>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</si>
  <si>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</si>
  <si>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</si>
  <si>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</si>
  <si>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</si>
  <si>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</si>
  <si>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</si>
  <si>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</si>
  <si>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</si>
  <si>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</si>
  <si>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</si>
  <si>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</si>
  <si>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</si>
  <si>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</si>
  <si>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</si>
  <si>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</si>
  <si>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</si>
  <si>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</si>
  <si>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</si>
  <si>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</si>
  <si>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</si>
  <si>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</si>
  <si>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</si>
  <si>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</si>
  <si>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</si>
  <si>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</si>
  <si>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</si>
  <si>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</si>
  <si>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</si>
  <si>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</si>
  <si>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</si>
  <si>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</si>
  <si>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</si>
  <si>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</si>
  <si>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</si>
  <si>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</si>
  <si>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</si>
  <si>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</si>
  <si>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</si>
  <si>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</si>
  <si>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</si>
  <si>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</si>
  <si>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</si>
  <si>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</si>
  <si>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</si>
  <si>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</si>
  <si>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</si>
  <si>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</si>
  <si>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</si>
  <si>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</si>
  <si>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</si>
  <si>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</si>
  <si>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</si>
  <si>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</si>
  <si>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</si>
  <si>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</si>
  <si>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</si>
  <si>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</si>
  <si>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</si>
  <si>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</si>
  <si>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</si>
  <si>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</si>
  <si>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</si>
  <si>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</si>
  <si>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</si>
  <si>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</si>
  <si>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</si>
  <si>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</si>
  <si>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</si>
  <si>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</si>
  <si>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</si>
  <si>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</si>
  <si>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</si>
  <si>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</si>
  <si>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</si>
  <si>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</si>
  <si>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</si>
  <si>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</si>
  <si>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</si>
  <si>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</si>
  <si>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</si>
  <si>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</si>
  <si>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</si>
  <si>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</si>
  <si>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</si>
  <si>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</si>
  <si>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</si>
  <si>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</si>
  <si>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</si>
  <si>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</si>
  <si>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</si>
  <si>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</si>
  <si>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</si>
  <si>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</si>
  <si>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</si>
  <si>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</si>
  <si>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</si>
  <si>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</si>
  <si>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</si>
  <si>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</si>
  <si>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</si>
  <si>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</si>
  <si>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</si>
  <si>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</si>
  <si>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</si>
  <si>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</si>
  <si>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</si>
  <si>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</si>
  <si>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</si>
  <si>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</si>
  <si>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</si>
  <si>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</si>
  <si>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</si>
  <si>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</si>
  <si>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</si>
  <si>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</si>
  <si>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</si>
  <si>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</si>
  <si>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</si>
  <si>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</si>
  <si>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</si>
  <si>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</si>
  <si>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</si>
  <si>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</si>
  <si>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</si>
  <si>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</si>
  <si>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</si>
  <si>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</si>
  <si>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</si>
  <si>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</si>
  <si>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</si>
  <si>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</si>
  <si>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</si>
  <si>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</si>
  <si>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</si>
  <si>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</si>
  <si>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</si>
  <si>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</si>
  <si>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</si>
  <si>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</si>
  <si>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</si>
  <si>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</si>
  <si>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</si>
  <si>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</si>
  <si>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</si>
  <si>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</si>
  <si>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</si>
  <si>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</si>
  <si>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</si>
  <si>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</si>
  <si>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</si>
  <si>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</si>
  <si>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</si>
  <si>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</si>
  <si>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</si>
  <si>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</si>
  <si>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</si>
  <si>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</si>
  <si>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</si>
  <si>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</si>
  <si>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</si>
  <si>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</si>
  <si>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</si>
  <si>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</si>
  <si>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</si>
  <si>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</si>
  <si>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</si>
  <si>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</si>
  <si>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</si>
  <si>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</si>
  <si>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</si>
  <si>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</si>
  <si>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</si>
  <si>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</si>
  <si>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</si>
  <si>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</si>
  <si>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</si>
  <si>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</si>
  <si>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</si>
  <si>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</si>
  <si>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</si>
  <si>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</si>
  <si>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</si>
  <si>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</si>
  <si>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</si>
  <si>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</si>
  <si>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</si>
  <si>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</si>
  <si>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</si>
  <si>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</si>
  <si>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</si>
  <si>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</si>
  <si>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</si>
  <si>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</si>
  <si>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</si>
  <si>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</si>
  <si>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</si>
  <si>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</si>
  <si>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</si>
  <si>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</si>
  <si>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</si>
  <si>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</si>
  <si>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</si>
  <si>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</si>
  <si>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</si>
  <si>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</si>
  <si>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</si>
  <si>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</si>
  <si>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</si>
  <si>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</si>
  <si>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</si>
  <si>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</si>
  <si>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</si>
  <si>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</si>
  <si>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</si>
  <si>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</si>
  <si>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</si>
  <si>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</si>
  <si>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</si>
  <si>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</si>
  <si>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</si>
  <si>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</si>
  <si>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</si>
  <si>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</si>
  <si>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</si>
  <si>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</si>
  <si>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</si>
  <si>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</si>
  <si>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</si>
  <si>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</si>
  <si>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</si>
  <si>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</si>
  <si>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</si>
  <si>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</si>
  <si>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</si>
  <si>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</si>
  <si>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</si>
  <si>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</si>
  <si>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</si>
  <si>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</si>
  <si>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</si>
  <si>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</si>
  <si>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</si>
  <si>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</si>
  <si>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</si>
  <si>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</si>
  <si>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</si>
  <si>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</si>
  <si>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</si>
  <si>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</si>
  <si>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</si>
  <si>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</si>
  <si>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</si>
  <si>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</si>
  <si>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</si>
  <si>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</si>
  <si>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</si>
  <si>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</si>
  <si>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</si>
  <si>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</si>
  <si>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</si>
  <si>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</si>
  <si>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</si>
  <si>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</si>
  <si>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</si>
  <si>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</si>
  <si>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</si>
  <si>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</si>
  <si>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</si>
  <si>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</si>
  <si>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</si>
  <si>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</si>
  <si>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</si>
  <si>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</si>
  <si>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</si>
  <si>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</si>
  <si>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</si>
  <si>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</si>
  <si>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</si>
  <si>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</si>
  <si>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</si>
  <si>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</si>
  <si>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</si>
  <si>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</si>
  <si>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</si>
  <si>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</si>
  <si>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</si>
  <si>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</si>
  <si>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</si>
  <si>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</si>
  <si>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</si>
  <si>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</si>
  <si>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</si>
  <si>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</si>
  <si>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</si>
  <si>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</si>
  <si>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</si>
  <si>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</si>
  <si>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</si>
  <si>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</si>
  <si>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</si>
  <si>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</si>
  <si>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</si>
  <si>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</si>
  <si>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</si>
  <si>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</si>
  <si>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</si>
  <si>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</si>
  <si>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</si>
  <si>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</si>
  <si>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</si>
  <si>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</si>
  <si>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</si>
  <si>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</si>
  <si>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</si>
  <si>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</si>
  <si>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</si>
  <si>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</si>
  <si>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</si>
  <si>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</si>
  <si>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</si>
  <si>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</si>
  <si>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</si>
  <si>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</si>
  <si>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</si>
  <si>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</si>
  <si>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</si>
  <si>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</si>
  <si>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</si>
  <si>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</si>
  <si>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</si>
  <si>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</si>
  <si>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</si>
  <si>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</si>
  <si>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</si>
  <si>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</si>
  <si>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</si>
  <si>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</si>
  <si>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</si>
  <si>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</si>
  <si>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</si>
  <si>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</si>
  <si>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</si>
  <si>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</si>
  <si>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</si>
  <si>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</si>
  <si>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</si>
  <si>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</si>
  <si>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</si>
  <si>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</si>
  <si>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</si>
  <si>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</si>
  <si>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</si>
  <si>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</si>
  <si>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</si>
  <si>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</si>
  <si>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</si>
  <si>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</si>
  <si>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</si>
  <si>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</si>
  <si>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</si>
  <si>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</si>
  <si>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</si>
  <si>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</si>
  <si>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</si>
  <si>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</si>
  <si>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</si>
  <si>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</si>
  <si>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</si>
  <si>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</si>
  <si>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</si>
  <si>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</si>
  <si>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</si>
  <si>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</si>
  <si>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</si>
  <si>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</si>
  <si>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</si>
  <si>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</si>
  <si>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</si>
  <si>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</si>
  <si>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</si>
  <si>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</si>
  <si>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</si>
  <si>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</si>
  <si>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</si>
  <si>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</si>
  <si>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</si>
  <si>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</si>
  <si>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</si>
  <si>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</si>
  <si>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</si>
  <si>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</si>
  <si>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</si>
  <si>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</si>
  <si>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</si>
  <si>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</si>
  <si>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</si>
  <si>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</si>
  <si>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</si>
  <si>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</si>
  <si>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</si>
  <si>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</si>
  <si>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</si>
  <si>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</si>
  <si>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</si>
  <si>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</si>
  <si>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</si>
  <si>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</si>
  <si>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</si>
  <si>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</si>
  <si>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</si>
  <si>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</si>
  <si>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</si>
  <si>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</si>
  <si>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</si>
  <si>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</si>
  <si>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</si>
  <si>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</si>
  <si>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</si>
  <si>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</si>
  <si>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</si>
  <si>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</si>
  <si>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</si>
  <si>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</si>
  <si>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</si>
  <si>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</si>
  <si>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</si>
  <si>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</si>
  <si>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</si>
  <si>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</si>
  <si>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</si>
  <si>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</si>
  <si>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</si>
  <si>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</si>
  <si>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</si>
  <si>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</si>
  <si>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</si>
  <si>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</si>
  <si>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</si>
  <si>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</si>
  <si>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</si>
  <si>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</si>
  <si>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</si>
  <si>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</si>
  <si>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</si>
  <si>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</si>
  <si>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</si>
  <si>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</si>
  <si>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</si>
  <si>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</si>
  <si>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</si>
  <si>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</si>
  <si>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</si>
  <si>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</si>
  <si>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</si>
  <si>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</si>
  <si>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</si>
  <si>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</si>
  <si>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</si>
  <si>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</si>
  <si>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</si>
  <si>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</si>
  <si>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</si>
  <si>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</si>
  <si>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</si>
  <si>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</si>
  <si>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</si>
  <si>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</si>
  <si>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</si>
  <si>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</si>
  <si>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</si>
  <si>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</si>
  <si>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</si>
  <si>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</si>
  <si>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</si>
  <si>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</si>
  <si>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</si>
  <si>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</si>
  <si>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</si>
  <si>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</si>
  <si>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</si>
  <si>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</si>
  <si>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</si>
  <si>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</si>
  <si>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</si>
  <si>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</si>
  <si>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</si>
  <si>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</si>
  <si>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</si>
  <si>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</si>
  <si>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</si>
  <si>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</si>
  <si>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</si>
  <si>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</si>
  <si>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</si>
  <si>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</si>
  <si>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</si>
  <si>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</si>
  <si>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</si>
  <si>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</si>
  <si>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</si>
  <si>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</si>
  <si>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</si>
  <si>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</si>
  <si>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</si>
  <si>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</si>
  <si>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</si>
  <si>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</si>
  <si>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</si>
  <si>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</si>
  <si>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</si>
  <si>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</si>
  <si>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</si>
  <si>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</si>
  <si>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</si>
  <si>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</si>
  <si>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</si>
  <si>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</si>
  <si>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</si>
  <si>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</si>
  <si>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</si>
  <si>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</si>
  <si>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</si>
  <si>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</si>
  <si>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</si>
  <si>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</si>
  <si>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</si>
  <si>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</si>
  <si>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</si>
  <si>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</si>
  <si>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</si>
  <si>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</si>
  <si>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</si>
  <si>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</si>
  <si>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</si>
  <si>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</si>
  <si>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</si>
  <si>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</si>
  <si>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</si>
  <si>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</si>
  <si>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</si>
  <si>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</si>
  <si>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</si>
  <si>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</si>
  <si>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</si>
  <si>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</si>
  <si>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</si>
  <si>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</si>
  <si>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</si>
  <si>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</si>
  <si>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</si>
  <si>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</si>
  <si>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</si>
  <si>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</si>
  <si>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</si>
  <si>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</si>
  <si>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</si>
  <si>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</si>
  <si>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</si>
  <si>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</si>
  <si>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</si>
  <si>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</si>
  <si>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</si>
  <si>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</si>
  <si>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</si>
  <si>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</si>
  <si>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</si>
  <si>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</si>
  <si>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</si>
  <si>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</si>
  <si>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</si>
  <si>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</si>
  <si>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</si>
  <si>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</si>
  <si>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</si>
  <si>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</si>
  <si>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</si>
  <si>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</si>
  <si>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</si>
  <si>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</si>
  <si>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</si>
  <si>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</si>
  <si>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</si>
  <si>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</si>
  <si>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</si>
  <si>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</si>
  <si>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</si>
  <si>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</si>
  <si>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</si>
  <si>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</si>
  <si>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</si>
  <si>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</si>
  <si>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</si>
  <si>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</si>
  <si>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</si>
  <si>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</si>
  <si>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</si>
  <si>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</si>
  <si>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</si>
  <si>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</si>
  <si>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</si>
  <si>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</si>
  <si>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</si>
  <si>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</si>
  <si>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</si>
  <si>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</si>
  <si>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</si>
  <si>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</si>
  <si>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</si>
  <si>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</si>
  <si>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</si>
  <si>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</si>
  <si>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</si>
  <si>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</si>
  <si>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</si>
  <si>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</si>
  <si>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</si>
  <si>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</si>
  <si>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</si>
  <si>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</si>
  <si>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</si>
  <si>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</si>
  <si>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</si>
  <si>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</si>
  <si>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</si>
  <si>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</si>
  <si>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</si>
  <si>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</si>
  <si>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</si>
  <si>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</si>
  <si>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</si>
  <si>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</si>
  <si>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</si>
  <si>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</si>
  <si>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</si>
  <si>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</si>
  <si>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</si>
  <si>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</si>
  <si>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</si>
  <si>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</si>
  <si>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</si>
  <si>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</si>
  <si>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</si>
  <si>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</si>
  <si>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</si>
  <si>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</si>
  <si>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</si>
  <si>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</si>
  <si>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</si>
  <si>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</si>
  <si>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</si>
  <si>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</si>
  <si>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</si>
  <si>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</si>
  <si>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</si>
  <si>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</si>
  <si>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</si>
  <si>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</si>
  <si>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</si>
  <si>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</si>
  <si>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</si>
  <si>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</si>
  <si>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</si>
  <si>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</si>
  <si>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</si>
  <si>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</si>
  <si>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</si>
  <si>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</si>
  <si>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</si>
  <si>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</si>
  <si>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</si>
  <si>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</si>
  <si>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</si>
  <si>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</si>
  <si>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</si>
  <si>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</si>
  <si>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</si>
  <si>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</si>
  <si>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</si>
  <si>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</si>
  <si>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</si>
  <si>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</si>
  <si>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</si>
  <si>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</si>
  <si>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</si>
  <si>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</si>
  <si>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</si>
  <si>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</si>
  <si>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</si>
  <si>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</si>
  <si>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</si>
  <si>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</si>
  <si>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</si>
  <si>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</si>
  <si>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</si>
  <si>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</si>
  <si>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</si>
  <si>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</si>
  <si>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</si>
  <si>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</si>
  <si>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</si>
  <si>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</si>
  <si>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</si>
  <si>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</si>
  <si>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</si>
  <si>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</si>
  <si>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</si>
  <si>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</si>
  <si>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</si>
  <si>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</si>
  <si>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</si>
  <si>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</si>
  <si>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</si>
  <si>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</si>
  <si>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</si>
  <si>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</si>
  <si>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</si>
  <si>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</si>
  <si>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</si>
  <si>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</si>
  <si>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</si>
  <si>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</si>
  <si>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</si>
  <si>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</si>
  <si>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</si>
  <si>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</si>
  <si>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</si>
  <si>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</si>
  <si>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</si>
  <si>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</si>
  <si>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</si>
  <si>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</si>
  <si>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</si>
  <si>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</si>
  <si>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</si>
  <si>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</si>
  <si>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</si>
  <si>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</si>
  <si>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</si>
  <si>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</si>
  <si>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</si>
  <si>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</si>
  <si>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</si>
  <si>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</si>
  <si>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</si>
  <si>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</si>
  <si>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</si>
  <si>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</si>
  <si>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</si>
  <si>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</si>
  <si>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</si>
  <si>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</si>
  <si>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</si>
  <si>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</si>
  <si>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</si>
  <si>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</si>
  <si>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</si>
  <si>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</si>
  <si>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</si>
  <si>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</si>
  <si>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</si>
  <si>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</si>
  <si>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</si>
  <si>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</si>
  <si>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</si>
  <si>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</si>
  <si>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</si>
  <si>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</si>
  <si>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</si>
  <si>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</si>
  <si>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</si>
  <si>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</si>
  <si>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</si>
  <si>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</si>
  <si>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</si>
  <si>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</si>
  <si>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</si>
  <si>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</si>
  <si>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</si>
  <si>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</si>
  <si>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</si>
  <si>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</si>
  <si>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</si>
  <si>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</si>
  <si>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</si>
  <si>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</si>
  <si>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</si>
  <si>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</si>
  <si>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</si>
  <si>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</si>
  <si>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</si>
  <si>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</si>
  <si>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</si>
  <si>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</si>
  <si>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</si>
  <si>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</si>
  <si>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</si>
  <si>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</si>
  <si>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</si>
  <si>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</si>
  <si>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</si>
  <si>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</si>
  <si>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</si>
  <si>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</si>
  <si>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</si>
  <si>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</si>
  <si>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</si>
  <si>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</si>
  <si>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</si>
  <si>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</si>
  <si>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</si>
  <si>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</si>
  <si>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</si>
  <si>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</si>
  <si>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</si>
  <si>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</si>
  <si>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</si>
  <si>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</si>
  <si>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</si>
  <si>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</si>
  <si>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</si>
  <si>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</si>
  <si>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</si>
  <si>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</si>
  <si>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</si>
  <si>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</si>
  <si>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</si>
  <si>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</si>
  <si>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</si>
  <si>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</si>
  <si>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</si>
  <si>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</si>
  <si>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</si>
  <si>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</si>
  <si>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</si>
  <si>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</si>
  <si>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</si>
  <si>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</si>
  <si>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</si>
  <si>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</si>
  <si>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</si>
  <si>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</si>
  <si>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</si>
  <si>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</si>
  <si>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</si>
  <si>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</si>
  <si>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</si>
  <si>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</si>
  <si>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</si>
  <si>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</si>
  <si>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</si>
  <si>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</si>
  <si>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</si>
  <si>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</si>
  <si>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</si>
  <si>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</si>
  <si>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</si>
  <si>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</si>
  <si>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</si>
  <si>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</si>
  <si>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</si>
  <si>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</si>
  <si>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</si>
  <si>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</si>
  <si>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</si>
  <si>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</si>
  <si>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</si>
  <si>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</si>
  <si>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</si>
  <si>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</si>
  <si>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</si>
  <si>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</si>
  <si>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</si>
  <si>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</si>
  <si>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</si>
  <si>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</si>
  <si>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</si>
  <si>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</si>
  <si>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</si>
  <si>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</si>
  <si>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</si>
  <si>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</si>
  <si>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</si>
  <si>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</si>
  <si>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</si>
  <si>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</si>
  <si>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</si>
  <si>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</si>
  <si>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</si>
  <si>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</si>
  <si>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</si>
  <si>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</si>
  <si>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</si>
  <si>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</si>
  <si>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</si>
  <si>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</si>
  <si>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</si>
  <si>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</si>
  <si>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</si>
  <si>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</si>
  <si>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</si>
  <si>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</si>
  <si>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</si>
  <si>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</si>
  <si>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</si>
  <si>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</si>
  <si>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</si>
  <si>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</si>
  <si>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</si>
  <si>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</si>
  <si>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</si>
  <si>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</si>
  <si>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</si>
  <si>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</si>
  <si>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</si>
  <si>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</si>
  <si>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</si>
  <si>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</si>
  <si>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</si>
  <si>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</si>
  <si>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</si>
  <si>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</si>
  <si>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</si>
  <si>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</si>
  <si>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</si>
  <si>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</si>
  <si>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</si>
  <si>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</si>
  <si>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</si>
  <si>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</si>
  <si>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</si>
  <si>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</si>
  <si>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</si>
  <si>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</si>
  <si>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</si>
  <si>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</si>
  <si>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</si>
  <si>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</si>
  <si>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</si>
  <si>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</si>
  <si>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</si>
  <si>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</si>
  <si>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</si>
  <si>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</si>
  <si>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</si>
  <si>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</si>
  <si>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</si>
  <si>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</si>
  <si>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</si>
  <si>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</si>
  <si>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</si>
  <si>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</si>
  <si>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</si>
  <si>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</si>
  <si>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</si>
  <si>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</si>
  <si>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</si>
  <si>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</si>
  <si>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</si>
  <si>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</si>
  <si>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</si>
  <si>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</si>
  <si>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</si>
  <si>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</si>
  <si>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</si>
  <si>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</si>
  <si>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</si>
  <si>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</si>
  <si>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</si>
  <si>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</si>
  <si>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</si>
  <si>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</si>
  <si>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</si>
  <si>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</si>
  <si>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</si>
  <si>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</si>
  <si>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</si>
  <si>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</si>
  <si>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</si>
  <si>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</si>
  <si>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</si>
  <si>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</si>
  <si>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</si>
  <si>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</si>
  <si>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</si>
  <si>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</si>
  <si>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</si>
  <si>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</si>
  <si>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</si>
  <si>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</si>
  <si>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</si>
  <si>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</si>
  <si>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</si>
  <si>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</si>
  <si>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</si>
  <si>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</si>
  <si>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</si>
  <si>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</si>
  <si>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</si>
  <si>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</si>
  <si>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</si>
  <si>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</si>
  <si>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</si>
  <si>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</si>
  <si>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</si>
  <si>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</si>
  <si>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</si>
  <si>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</si>
  <si>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</si>
  <si>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</si>
  <si>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</si>
  <si>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</si>
  <si>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</si>
  <si>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</si>
  <si>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</si>
  <si>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</si>
  <si>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</si>
  <si>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</si>
  <si>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</si>
  <si>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</si>
  <si>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</si>
  <si>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</si>
  <si>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</si>
  <si>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</si>
  <si>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</si>
  <si>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</si>
  <si>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</si>
  <si>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</si>
  <si>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</si>
  <si>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</si>
  <si>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</si>
  <si>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</si>
  <si>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</si>
  <si>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</si>
  <si>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</si>
  <si>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</si>
  <si>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</si>
  <si>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</si>
  <si>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</si>
  <si>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</si>
  <si>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</si>
  <si>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</si>
  <si>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</si>
  <si>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</si>
  <si>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</si>
  <si>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</si>
  <si>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</si>
  <si>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</si>
  <si>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</si>
  <si>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</si>
  <si>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</si>
  <si>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</si>
  <si>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</si>
  <si>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</si>
  <si>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</si>
  <si>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</si>
  <si>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</si>
  <si>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</si>
  <si>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</si>
  <si>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</si>
  <si>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</si>
  <si>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</si>
  <si>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</si>
  <si>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</si>
  <si>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</si>
  <si>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</si>
  <si>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</si>
  <si>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</si>
  <si>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</si>
  <si>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</si>
  <si>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</si>
  <si>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</si>
  <si>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</si>
  <si>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</si>
  <si>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</si>
  <si>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</si>
  <si>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</si>
  <si>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</si>
  <si>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</si>
  <si>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</si>
  <si>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</si>
  <si>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</si>
  <si>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</si>
  <si>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</si>
  <si>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</si>
  <si>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</si>
  <si>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</si>
  <si>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</si>
  <si>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</si>
  <si>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</si>
  <si>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</si>
  <si>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</si>
  <si>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</si>
  <si>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</si>
  <si>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</si>
  <si>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</si>
  <si>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</si>
  <si>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</si>
  <si>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</si>
  <si>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</si>
  <si>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</si>
  <si>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</si>
  <si>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</si>
  <si>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</si>
  <si>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</si>
  <si>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</si>
  <si>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</si>
  <si>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</si>
  <si>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</si>
  <si>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</si>
  <si>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</si>
  <si>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</si>
  <si>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</si>
  <si>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</si>
  <si>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</si>
  <si>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</si>
  <si>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</si>
  <si>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</si>
  <si>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</si>
  <si>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</si>
  <si>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</si>
  <si>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</si>
  <si>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</si>
  <si>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</si>
  <si>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</si>
  <si>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</si>
  <si>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</si>
  <si>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</si>
  <si>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</si>
  <si>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</si>
  <si>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</si>
  <si>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</si>
  <si>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</si>
  <si>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</si>
  <si>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</si>
  <si>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</si>
  <si>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</si>
  <si>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</si>
  <si>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</si>
  <si>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</si>
  <si>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</si>
  <si>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</si>
  <si>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</si>
  <si>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</si>
  <si>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</si>
  <si>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</si>
  <si>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</si>
  <si>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</si>
  <si>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</si>
  <si>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</si>
  <si>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</si>
  <si>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</si>
  <si>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</si>
  <si>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</si>
  <si>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</si>
  <si>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</si>
  <si>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</si>
  <si>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</si>
  <si>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</si>
  <si>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</si>
  <si>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</si>
  <si>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</si>
  <si>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</si>
  <si>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</si>
  <si>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</si>
  <si>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</si>
  <si>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</si>
  <si>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</si>
  <si>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</si>
  <si>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</si>
  <si>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</si>
  <si>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</si>
  <si>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</si>
  <si>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</si>
  <si>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</si>
  <si>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</si>
  <si>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</si>
  <si>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</si>
  <si>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</si>
  <si>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</si>
  <si>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</si>
  <si>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</si>
  <si>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</si>
  <si>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</si>
  <si>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</si>
  <si>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</si>
  <si>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</si>
  <si>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</si>
  <si>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</si>
  <si>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</si>
  <si>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</si>
  <si>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</si>
  <si>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</si>
  <si>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</si>
  <si>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</si>
  <si>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</si>
  <si>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</si>
  <si>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</si>
  <si>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</si>
  <si>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</si>
  <si>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</si>
  <si>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</si>
  <si>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</si>
  <si>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</si>
  <si>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</si>
  <si>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</si>
  <si>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</si>
  <si>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</si>
  <si>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</si>
  <si>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</si>
  <si>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</si>
  <si>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</si>
  <si>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</si>
  <si>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</si>
  <si>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</si>
  <si>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</si>
  <si>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</si>
  <si>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</si>
  <si>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</si>
  <si>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</si>
  <si>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</si>
  <si>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</si>
  <si>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</si>
  <si>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</si>
  <si>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</si>
  <si>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</si>
  <si>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</si>
  <si>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</si>
  <si>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</si>
  <si>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</si>
  <si>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</si>
  <si>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</si>
  <si>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</si>
  <si>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</si>
  <si>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</si>
  <si>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</si>
  <si>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</si>
  <si>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</si>
  <si>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</si>
  <si>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</si>
  <si>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</si>
  <si>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</si>
  <si>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</si>
  <si>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</si>
  <si>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</si>
  <si>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</si>
  <si>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</si>
  <si>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</si>
  <si>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</si>
  <si>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</si>
  <si>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</si>
  <si>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</si>
  <si>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</si>
  <si>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</si>
  <si>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</si>
  <si>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</si>
  <si>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</si>
  <si>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</si>
  <si>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</si>
  <si>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</si>
  <si>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</si>
  <si>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</si>
  <si>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</si>
  <si>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</si>
  <si>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</si>
  <si>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</si>
  <si>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</si>
  <si>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</si>
  <si>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</si>
  <si>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</si>
  <si>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</si>
  <si>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</si>
  <si>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</si>
  <si>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</si>
  <si>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</si>
  <si>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</si>
  <si>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</si>
  <si>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</si>
  <si>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</si>
  <si>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</si>
  <si>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</si>
  <si>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</si>
  <si>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</si>
  <si>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</si>
  <si>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</si>
  <si>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</si>
  <si>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</si>
  <si>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</si>
  <si>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</si>
  <si>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</si>
  <si>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</si>
  <si>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</si>
  <si>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</si>
  <si>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</si>
  <si>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</si>
  <si>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</si>
  <si>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</si>
  <si>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</si>
  <si>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</si>
  <si>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</si>
  <si>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</si>
  <si>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</si>
  <si>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</si>
  <si>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</si>
  <si>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</si>
  <si>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</si>
  <si>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</si>
  <si>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</si>
  <si>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</si>
  <si>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</si>
  <si>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</si>
  <si>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</si>
  <si>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</si>
  <si>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</si>
  <si>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</si>
  <si>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</si>
  <si>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</si>
  <si>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</si>
  <si>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</si>
  <si>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</si>
  <si>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</si>
  <si>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</si>
  <si>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</si>
  <si>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</si>
  <si>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</si>
  <si>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</si>
  <si>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</si>
  <si>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</si>
  <si>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</si>
  <si>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</si>
  <si>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</si>
  <si>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</si>
  <si>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</si>
  <si>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</si>
  <si>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</si>
  <si>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</si>
  <si>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</si>
  <si>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</si>
  <si>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</si>
  <si>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</si>
  <si>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</si>
  <si>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</si>
  <si>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</si>
  <si>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</si>
  <si>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</si>
  <si>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</si>
  <si>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</si>
  <si>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</si>
  <si>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</si>
  <si>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</si>
  <si>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</si>
  <si>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</si>
  <si>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</si>
  <si>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</si>
  <si>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</si>
  <si>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</si>
  <si>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</si>
  <si>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</si>
  <si>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</si>
  <si>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</si>
  <si>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</si>
  <si>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</si>
  <si>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</si>
  <si>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</si>
  <si>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</si>
  <si>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</si>
  <si>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</si>
  <si>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</si>
  <si>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</si>
  <si>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</si>
  <si>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</si>
  <si>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</si>
  <si>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</si>
  <si>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</si>
  <si>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</si>
  <si>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</si>
  <si>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</si>
  <si>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</si>
  <si>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</si>
  <si>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</si>
  <si>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</si>
  <si>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</si>
  <si>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</si>
  <si>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</si>
  <si>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</si>
  <si>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</si>
  <si>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</si>
  <si>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</si>
  <si>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</si>
  <si>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</si>
  <si>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</si>
  <si>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</si>
  <si>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</si>
  <si>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</si>
  <si>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</si>
  <si>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</si>
  <si>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</si>
  <si>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</si>
  <si>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</si>
  <si>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</si>
  <si>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</si>
  <si>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</si>
  <si>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</si>
  <si>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</si>
  <si>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</si>
  <si>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</si>
  <si>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</si>
  <si>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</si>
  <si>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</si>
  <si>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</si>
  <si>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</si>
  <si>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</si>
  <si>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</si>
  <si>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</si>
  <si>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</si>
  <si>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</si>
  <si>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</si>
  <si>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</si>
  <si>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</si>
  <si>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</si>
  <si>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</si>
  <si>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</si>
  <si>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</si>
  <si>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</si>
  <si>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</si>
  <si>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</si>
  <si>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</si>
  <si>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</si>
  <si>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</si>
  <si>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</si>
  <si>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</si>
  <si>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</si>
  <si>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</si>
  <si>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</si>
  <si>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</si>
  <si>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</si>
  <si>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</si>
  <si>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</si>
  <si>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</si>
  <si>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</si>
  <si>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</si>
  <si>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</si>
  <si>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</si>
  <si>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</si>
  <si>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</si>
  <si>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</si>
  <si>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</si>
  <si>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</si>
  <si>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</si>
  <si>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</si>
  <si>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</si>
  <si>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</si>
  <si>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</si>
  <si>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</si>
  <si>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</si>
  <si>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</si>
  <si>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</si>
  <si>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</si>
  <si>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</si>
  <si>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</si>
  <si>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</si>
  <si>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</si>
  <si>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</si>
  <si>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</si>
  <si>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</si>
  <si>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</si>
  <si>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</si>
  <si>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</si>
  <si>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</si>
  <si>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</si>
  <si>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</si>
  <si>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</si>
  <si>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</si>
  <si>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</si>
  <si>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</si>
  <si>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</si>
  <si>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</si>
  <si>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</si>
  <si>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</si>
  <si>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</si>
  <si>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</si>
  <si>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</si>
  <si>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</si>
  <si>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</si>
  <si>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</si>
  <si>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</si>
  <si>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</si>
  <si>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</si>
  <si>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</si>
  <si>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</si>
  <si>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</si>
  <si>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</si>
  <si>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</si>
  <si>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</si>
  <si>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</si>
  <si>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</si>
  <si>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</si>
  <si>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</si>
  <si>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</si>
  <si>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</si>
  <si>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</si>
  <si>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</si>
  <si>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</si>
  <si>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</si>
  <si>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</si>
  <si>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</si>
  <si>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</si>
  <si>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</si>
  <si>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</si>
  <si>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</si>
  <si>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</si>
  <si>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</si>
  <si>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</si>
  <si>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</si>
  <si>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</si>
  <si>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</si>
  <si>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</si>
  <si>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</si>
  <si>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</si>
  <si>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</si>
  <si>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</si>
  <si>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</si>
  <si>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</si>
  <si>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</si>
  <si>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</si>
  <si>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</si>
  <si>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</si>
  <si>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</si>
  <si>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</si>
  <si>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</si>
  <si>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</si>
  <si>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</si>
  <si>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</si>
  <si>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</si>
  <si>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</si>
  <si>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</si>
  <si>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</si>
  <si>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</si>
  <si>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</si>
  <si>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</si>
  <si>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</si>
  <si>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</si>
  <si>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</si>
  <si>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</si>
  <si>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</si>
  <si>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</si>
  <si>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</si>
  <si>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</si>
  <si>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</si>
  <si>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</si>
  <si>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</si>
  <si>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</si>
  <si>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</si>
  <si>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</si>
  <si>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</si>
  <si>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</si>
  <si>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</si>
  <si>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</si>
  <si>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</si>
  <si>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</si>
  <si>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</si>
  <si>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</si>
  <si>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</si>
  <si>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</si>
  <si>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</si>
  <si>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</si>
  <si>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</si>
  <si>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</si>
  <si>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</si>
  <si>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</si>
  <si>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</si>
  <si>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</si>
  <si>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</si>
  <si>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</si>
  <si>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</si>
  <si>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</si>
  <si>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</si>
  <si>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</si>
  <si>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</si>
  <si>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</si>
  <si>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</si>
  <si>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</si>
  <si>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</si>
  <si>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</si>
  <si>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</si>
  <si>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</si>
  <si>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</si>
  <si>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</si>
  <si>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</si>
  <si>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</si>
  <si>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</si>
  <si>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</si>
  <si>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</si>
  <si>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</si>
  <si>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</si>
  <si>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</si>
  <si>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</si>
  <si>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</si>
  <si>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</si>
  <si>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</si>
  <si>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</si>
  <si>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</si>
  <si>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</si>
  <si>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</si>
  <si>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</si>
  <si>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</si>
  <si>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</si>
  <si>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</si>
  <si>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</si>
  <si>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</si>
  <si>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</si>
  <si>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</si>
  <si>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</si>
  <si>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</si>
  <si>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</si>
  <si>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</si>
  <si>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</si>
  <si>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</si>
  <si>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</si>
  <si>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</si>
  <si>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</si>
  <si>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</si>
  <si>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</si>
  <si>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</si>
  <si>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</si>
  <si>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</si>
  <si>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</si>
  <si>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</si>
  <si>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</si>
  <si>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</si>
  <si>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</si>
  <si>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</si>
  <si>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</si>
  <si>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</si>
  <si>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</si>
  <si>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</si>
  <si>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</si>
  <si>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</si>
  <si>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</si>
  <si>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</si>
  <si>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</si>
  <si>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</si>
  <si>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</si>
  <si>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</si>
  <si>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</si>
  <si>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</si>
  <si>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</si>
  <si>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</si>
  <si>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</si>
  <si>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</si>
  <si>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</si>
  <si>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</si>
  <si>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</si>
  <si>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</si>
  <si>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</si>
  <si>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</si>
  <si>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</si>
  <si>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</si>
  <si>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</si>
  <si>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</si>
  <si>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</si>
  <si>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</si>
  <si>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</si>
  <si>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</si>
  <si>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</si>
  <si>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</si>
  <si>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</si>
  <si>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</si>
  <si>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</si>
  <si>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</si>
  <si>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</si>
  <si>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</si>
  <si>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</si>
  <si>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</si>
  <si>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</si>
  <si>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</si>
  <si>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</si>
  <si>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</si>
  <si>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</si>
  <si>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</si>
  <si>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</si>
  <si>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</si>
  <si>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</si>
  <si>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</si>
  <si>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</si>
  <si>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</si>
  <si>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</si>
  <si>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</si>
  <si>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</si>
  <si>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</si>
  <si>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</si>
  <si>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</si>
  <si>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</si>
  <si>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</si>
  <si>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</si>
  <si>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</si>
  <si>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</si>
  <si>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</si>
  <si>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</si>
  <si>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</si>
  <si>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</si>
  <si>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</si>
  <si>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</si>
  <si>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</si>
  <si>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</si>
  <si>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</si>
  <si>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</si>
  <si>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</si>
  <si>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</si>
  <si>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</si>
  <si>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</si>
  <si>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</si>
  <si>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</si>
  <si>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</si>
  <si>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</si>
  <si>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</si>
  <si>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</si>
  <si>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</si>
  <si>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</si>
  <si>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</si>
  <si>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</si>
  <si>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</si>
  <si>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</si>
  <si>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</si>
  <si>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</si>
  <si>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</si>
  <si>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</si>
  <si>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</si>
  <si>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</si>
  <si>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</si>
  <si>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</si>
  <si>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</si>
  <si>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</si>
  <si>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</si>
  <si>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</si>
  <si>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</si>
  <si>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</si>
  <si>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</si>
  <si>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</si>
  <si>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</si>
  <si>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</si>
  <si>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</si>
  <si>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</si>
  <si>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</si>
  <si>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</si>
  <si>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</si>
  <si>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</si>
  <si>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</si>
  <si>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</si>
  <si>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</si>
  <si>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</si>
  <si>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</si>
  <si>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</si>
  <si>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</si>
  <si>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</si>
  <si>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</si>
  <si>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</si>
  <si>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</si>
  <si>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</si>
  <si>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</si>
  <si>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</si>
  <si>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</si>
  <si>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</si>
  <si>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</si>
  <si>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</si>
  <si>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</si>
  <si>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</si>
  <si>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</si>
  <si>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</si>
  <si>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</si>
  <si>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</si>
  <si>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</si>
  <si>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</si>
  <si>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</si>
  <si>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</si>
  <si>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</si>
  <si>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</si>
  <si>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</si>
  <si>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</si>
  <si>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</si>
  <si>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</si>
  <si>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</si>
  <si>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</si>
  <si>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</si>
  <si>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</si>
  <si>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</si>
  <si>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</si>
  <si>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</si>
  <si>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</si>
  <si>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</si>
  <si>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</si>
  <si>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</si>
  <si>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</si>
  <si>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</si>
  <si>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</si>
  <si>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</si>
  <si>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</si>
  <si>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</si>
  <si>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</si>
  <si>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</si>
  <si>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</si>
  <si>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</si>
  <si>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</si>
  <si>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</si>
  <si>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</si>
  <si>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</si>
  <si>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</si>
  <si>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</si>
  <si>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</si>
  <si>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</si>
  <si>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</si>
  <si>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</si>
  <si>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</si>
  <si>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</si>
  <si>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</si>
  <si>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</si>
  <si>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</si>
  <si>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</si>
  <si>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</si>
  <si>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</si>
  <si>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</si>
  <si>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</si>
  <si>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</si>
  <si>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</si>
  <si>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</si>
  <si>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</si>
  <si>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</si>
  <si>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</si>
  <si>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</si>
  <si>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</si>
  <si>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</si>
  <si>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</si>
  <si>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</si>
  <si>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</si>
  <si>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</si>
  <si>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</si>
  <si>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</si>
  <si>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</si>
  <si>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</si>
  <si>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</si>
  <si>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</si>
  <si>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</si>
  <si>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</si>
  <si>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</si>
  <si>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</si>
  <si>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</si>
  <si>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</si>
  <si>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</si>
  <si>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</si>
  <si>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</si>
  <si>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</si>
  <si>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</si>
  <si>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</si>
  <si>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</si>
  <si>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</si>
  <si>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</si>
  <si>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</si>
  <si>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</si>
  <si>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</si>
  <si>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</si>
  <si>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</si>
  <si>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</si>
  <si>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</si>
  <si>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</si>
  <si>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</si>
  <si>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</si>
  <si>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</si>
  <si>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</si>
  <si>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</si>
  <si>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</si>
  <si>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</si>
  <si>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</si>
  <si>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</si>
  <si>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</si>
  <si>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</si>
  <si>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</si>
  <si>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</si>
  <si>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</si>
  <si>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</si>
  <si>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</si>
  <si>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</si>
  <si>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</si>
  <si>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</si>
  <si>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</si>
  <si>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</si>
  <si>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</si>
  <si>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</si>
  <si>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</si>
  <si>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</si>
  <si>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</si>
  <si>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</si>
  <si>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</si>
  <si>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</si>
  <si>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</si>
  <si>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</si>
  <si>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</si>
  <si>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</si>
  <si>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</si>
  <si>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</si>
  <si>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</si>
  <si>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</si>
  <si>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</si>
  <si>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</si>
  <si>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</si>
  <si>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</si>
  <si>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</si>
  <si>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</si>
  <si>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</si>
  <si>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</si>
  <si>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</si>
  <si>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</si>
  <si>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</si>
  <si>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</si>
  <si>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</si>
  <si>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</si>
  <si>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</si>
  <si>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</si>
  <si>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</si>
  <si>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</si>
  <si>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</si>
  <si>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</si>
  <si>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</si>
  <si>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</si>
  <si>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</si>
  <si>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</si>
  <si>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</si>
  <si>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</si>
  <si>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</si>
  <si>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</si>
  <si>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</si>
  <si>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</si>
  <si>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</si>
  <si>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</si>
  <si>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</si>
  <si>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</si>
  <si>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</si>
  <si>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</si>
  <si>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</si>
  <si>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</si>
  <si>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</si>
  <si>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</si>
  <si>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</si>
  <si>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</si>
  <si>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</si>
  <si>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</si>
  <si>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</si>
  <si>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</si>
  <si>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</si>
  <si>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</si>
  <si>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</si>
  <si>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</si>
  <si>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</si>
  <si>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</si>
  <si>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</si>
  <si>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</si>
  <si>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</si>
  <si>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</si>
  <si>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</si>
  <si>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</si>
  <si>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</si>
  <si>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</si>
  <si>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</si>
  <si>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</si>
  <si>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</si>
  <si>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</si>
  <si>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</si>
  <si>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</si>
  <si>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</si>
  <si>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</si>
  <si>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</si>
  <si>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</si>
  <si>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</si>
  <si>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</si>
  <si>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</si>
  <si>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</si>
  <si>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</si>
  <si>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</si>
  <si>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</si>
  <si>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</si>
  <si>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</si>
  <si>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</si>
  <si>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</si>
  <si>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</si>
  <si>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</si>
  <si>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</si>
  <si>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</si>
  <si>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</si>
  <si>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</si>
  <si>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</si>
  <si>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</si>
  <si>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</si>
  <si>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</si>
  <si>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</si>
  <si>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</si>
  <si>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</si>
  <si>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</si>
  <si>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</si>
  <si>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</si>
  <si>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</si>
  <si>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</si>
  <si>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</si>
  <si>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</si>
  <si>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</si>
  <si>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</si>
  <si>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</si>
  <si>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</si>
  <si>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</si>
  <si>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</si>
  <si>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</si>
  <si>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</si>
  <si>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</si>
  <si>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</si>
  <si>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</si>
  <si>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</si>
  <si>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</si>
  <si>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</si>
  <si>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</si>
  <si>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</si>
  <si>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</si>
  <si>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</si>
  <si>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</si>
  <si>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</si>
  <si>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</si>
  <si>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</si>
  <si>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</si>
  <si>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</si>
  <si>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</si>
  <si>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</si>
  <si>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</si>
  <si>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</si>
  <si>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</si>
  <si>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</si>
  <si>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</si>
  <si>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</si>
  <si>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</si>
  <si>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</si>
  <si>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</si>
  <si>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</si>
  <si>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</si>
  <si>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</si>
  <si>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</si>
  <si>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</si>
  <si>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</si>
  <si>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</si>
  <si>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</si>
  <si>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</si>
  <si>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</si>
  <si>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</si>
  <si>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</si>
  <si>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</si>
  <si>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</si>
  <si>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</si>
  <si>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</si>
  <si>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</si>
  <si>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</si>
  <si>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</si>
  <si>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</si>
  <si>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</si>
  <si>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</si>
  <si>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</si>
  <si>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</si>
  <si>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</si>
  <si>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</si>
  <si>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</si>
  <si>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</si>
  <si>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</si>
  <si>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</si>
  <si>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</si>
  <si>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</si>
  <si>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</si>
  <si>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</si>
  <si>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</si>
  <si>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</si>
  <si>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</si>
  <si>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</si>
  <si>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</si>
  <si>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</si>
  <si>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</si>
  <si>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</si>
  <si>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</si>
  <si>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</si>
  <si>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</si>
  <si>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</si>
  <si>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</si>
  <si>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</si>
  <si>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</si>
  <si>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</si>
  <si>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</si>
  <si>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</si>
  <si>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</si>
  <si>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</si>
  <si>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</si>
  <si>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</si>
  <si>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</si>
  <si>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</si>
  <si>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</si>
  <si>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</si>
  <si>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</si>
  <si>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</si>
  <si>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</si>
  <si>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</si>
  <si>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</si>
  <si>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</si>
  <si>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</si>
  <si>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</si>
  <si>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</si>
  <si>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</si>
  <si>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</si>
  <si>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</si>
  <si>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</si>
  <si>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</si>
  <si>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</si>
  <si>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</si>
  <si>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</si>
  <si>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</si>
  <si>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</si>
  <si>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</si>
  <si>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</si>
  <si>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</si>
  <si>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</si>
  <si>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</si>
  <si>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</si>
  <si>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</si>
  <si>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</si>
  <si>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</si>
  <si>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</si>
  <si>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</si>
  <si>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</si>
  <si>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</si>
  <si>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</si>
  <si>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</si>
  <si>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</si>
  <si>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</si>
  <si>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</si>
  <si>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</si>
  <si>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</si>
  <si>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</si>
  <si>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</si>
  <si>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</si>
  <si>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</si>
  <si>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</si>
  <si>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</si>
  <si>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</si>
  <si>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</si>
  <si>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</si>
  <si>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</si>
  <si>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</si>
  <si>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</si>
  <si>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</si>
  <si>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</si>
  <si>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</si>
  <si>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</si>
  <si>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</si>
  <si>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</si>
  <si>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</si>
  <si>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</si>
  <si>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</si>
  <si>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</si>
  <si>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</si>
  <si>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</si>
  <si>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</si>
  <si>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</si>
  <si>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</si>
  <si>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</si>
  <si>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</si>
  <si>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</si>
  <si>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</si>
  <si>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</si>
  <si>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</si>
  <si>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</si>
  <si>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</si>
  <si>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</si>
  <si>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</si>
  <si>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</si>
  <si>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</si>
  <si>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</si>
  <si>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</si>
  <si>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</si>
  <si>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</si>
  <si>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</si>
  <si>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</si>
  <si>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</si>
  <si>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</si>
  <si>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</si>
  <si>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</si>
  <si>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</si>
  <si>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</si>
  <si>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</si>
  <si>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</si>
  <si>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</si>
  <si>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</si>
  <si>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</si>
  <si>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</si>
  <si>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</si>
  <si>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</si>
  <si>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</si>
  <si>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</si>
  <si>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</si>
  <si>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</si>
  <si>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</si>
  <si>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</si>
  <si>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</si>
  <si>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</si>
  <si>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</si>
  <si>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</si>
  <si>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</si>
  <si>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</si>
  <si>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</si>
  <si>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</si>
  <si>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</si>
  <si>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</si>
  <si>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</si>
  <si>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</si>
  <si>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</si>
  <si>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</si>
  <si>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</si>
  <si>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</si>
  <si>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</si>
  <si>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</si>
  <si>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</si>
  <si>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</si>
  <si>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</si>
  <si>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</si>
  <si>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</si>
  <si>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</si>
  <si>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</si>
  <si>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</si>
  <si>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</si>
  <si>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</si>
  <si>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</si>
  <si>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</si>
  <si>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</si>
  <si>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</si>
  <si>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</si>
  <si>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</si>
  <si>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</si>
  <si>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</si>
  <si>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</si>
  <si>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</si>
  <si>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</si>
  <si>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</si>
  <si>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</si>
  <si>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</si>
  <si>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</si>
  <si>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</si>
  <si>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</si>
  <si>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</si>
  <si>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</si>
  <si>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</si>
  <si>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</si>
  <si>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</si>
  <si>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</si>
  <si>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</si>
  <si>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</si>
  <si>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</si>
  <si>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</si>
  <si>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</si>
  <si>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</si>
  <si>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</si>
  <si>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</si>
  <si>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</si>
  <si>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</si>
  <si>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</si>
  <si>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</si>
  <si>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</si>
  <si>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</si>
  <si>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</si>
  <si>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</si>
  <si>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</si>
  <si>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</si>
  <si>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</si>
  <si>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</si>
  <si>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</si>
  <si>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</si>
  <si>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</si>
  <si>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</si>
  <si>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</si>
  <si>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</si>
  <si>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</si>
  <si>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</si>
  <si>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</si>
  <si>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</si>
  <si>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</si>
  <si>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</si>
  <si>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</si>
  <si>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</si>
  <si>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</si>
  <si>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</si>
  <si>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</si>
  <si>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</si>
  <si>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</si>
  <si>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</si>
  <si>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</si>
  <si>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</si>
  <si>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</si>
  <si>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</si>
  <si>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</si>
  <si>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</si>
  <si>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</si>
  <si>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</si>
  <si>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</si>
  <si>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</si>
  <si>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</si>
  <si>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</si>
  <si>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</si>
  <si>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</si>
  <si>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</si>
  <si>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</si>
  <si>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</si>
  <si>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</si>
  <si>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</si>
  <si>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</si>
  <si>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</si>
  <si>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</si>
  <si>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</si>
  <si>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</si>
  <si>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</si>
  <si>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</si>
  <si>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</si>
  <si>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</si>
  <si>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</si>
  <si>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</si>
  <si>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</si>
  <si>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</si>
  <si>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</si>
  <si>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</si>
  <si>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</si>
  <si>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</si>
  <si>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</si>
  <si>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</si>
  <si>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</si>
  <si>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</si>
  <si>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</si>
  <si>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</si>
  <si>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</si>
  <si>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</si>
  <si>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</si>
  <si>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</si>
  <si>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</si>
  <si>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</si>
  <si>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</si>
  <si>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</si>
  <si>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</si>
  <si>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</si>
  <si>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</si>
  <si>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</si>
  <si>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</si>
  <si>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</si>
  <si>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</si>
  <si>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</si>
  <si>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</si>
  <si>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</si>
  <si>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</si>
  <si>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</si>
  <si>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</si>
  <si>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</si>
  <si>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</si>
  <si>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</si>
  <si>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</si>
  <si>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</si>
  <si>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</si>
  <si>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</si>
  <si>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</si>
  <si>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</si>
  <si>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</si>
  <si>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</si>
  <si>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</si>
  <si>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</si>
  <si>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</si>
  <si>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</si>
  <si>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</si>
  <si>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</si>
  <si>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</si>
  <si>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</si>
  <si>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</si>
  <si>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</si>
  <si>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</si>
  <si>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</si>
  <si>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</si>
  <si>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</si>
  <si>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</si>
  <si>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</si>
  <si>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</si>
  <si>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</si>
  <si>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</si>
  <si>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</si>
  <si>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</si>
  <si>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</si>
  <si>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</si>
  <si>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</si>
  <si>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</si>
  <si>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</si>
  <si>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</si>
  <si>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</si>
  <si>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</si>
  <si>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</si>
  <si>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</si>
  <si>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</si>
  <si>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</si>
  <si>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</si>
  <si>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</si>
  <si>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</si>
  <si>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</si>
  <si>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</si>
  <si>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</si>
  <si>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</si>
  <si>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</si>
  <si>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</si>
  <si>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</si>
  <si>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</si>
  <si>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</si>
  <si>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</si>
  <si>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</si>
  <si>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</si>
  <si>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</si>
  <si>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</si>
  <si>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</si>
  <si>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</si>
  <si>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</si>
  <si>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</si>
  <si>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</si>
  <si>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</si>
  <si>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</si>
  <si>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</si>
  <si>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</si>
  <si>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</si>
  <si>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</si>
  <si>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</si>
  <si>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</si>
  <si>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</si>
  <si>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</si>
  <si>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</si>
  <si>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</si>
  <si>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</si>
  <si>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</si>
  <si>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</si>
  <si>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</si>
  <si>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</si>
  <si>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</si>
  <si>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</si>
  <si>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</si>
  <si>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</si>
  <si>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</si>
  <si>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</si>
  <si>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</si>
  <si>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</si>
  <si>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</si>
  <si>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</si>
  <si>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</si>
  <si>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</si>
  <si>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</si>
  <si>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</si>
  <si>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</si>
  <si>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</si>
  <si>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</si>
  <si>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</si>
  <si>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</si>
  <si>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</si>
  <si>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</si>
  <si>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</si>
  <si>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</si>
  <si>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</si>
  <si>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</si>
  <si>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</si>
  <si>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</si>
  <si>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</si>
  <si>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</si>
  <si>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</si>
  <si>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</si>
  <si>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</si>
  <si>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</si>
  <si>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</si>
  <si>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</si>
  <si>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</si>
  <si>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</si>
  <si>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</si>
  <si>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</si>
  <si>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</si>
  <si>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</si>
  <si>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</si>
  <si>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</si>
  <si>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</si>
  <si>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</si>
  <si>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</si>
  <si>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</si>
  <si>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</si>
  <si>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</si>
  <si>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</si>
  <si>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</si>
  <si>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</si>
  <si>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</si>
  <si>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</si>
  <si>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</si>
  <si>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</si>
  <si>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</si>
  <si>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</si>
  <si>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</si>
  <si>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</si>
  <si>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</si>
  <si>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</si>
  <si>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</si>
  <si>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</si>
  <si>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</si>
  <si>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</si>
  <si>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</si>
  <si>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</si>
  <si>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</si>
  <si>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</si>
  <si>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</si>
  <si>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</si>
  <si>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</si>
  <si>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</si>
  <si>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</si>
  <si>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</si>
  <si>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</si>
  <si>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</si>
  <si>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</si>
  <si>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</si>
  <si>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</si>
  <si>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</si>
  <si>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</si>
  <si>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</si>
  <si>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</si>
  <si>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</si>
  <si>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</si>
  <si>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</si>
  <si>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</si>
  <si>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</si>
  <si>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</si>
  <si>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</si>
  <si>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</si>
  <si>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</si>
  <si>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</si>
  <si>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</si>
  <si>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</si>
  <si>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</si>
  <si>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</si>
  <si>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</si>
  <si>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</si>
  <si>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</si>
  <si>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</si>
  <si>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</si>
  <si>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</si>
  <si>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</si>
  <si>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</si>
  <si>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</si>
  <si>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</si>
  <si>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</si>
  <si>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</si>
  <si>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</si>
  <si>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</si>
  <si>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</si>
  <si>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</si>
  <si>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</si>
  <si>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</si>
  <si>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</si>
  <si>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</si>
  <si>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</si>
  <si>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</si>
  <si>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</si>
  <si>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</si>
  <si>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</si>
  <si>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</si>
  <si>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</si>
  <si>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</si>
  <si>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</si>
  <si>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</si>
  <si>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</si>
  <si>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</si>
  <si>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</si>
  <si>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</si>
  <si>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</si>
  <si>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</si>
  <si>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</si>
  <si>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</si>
  <si>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</si>
  <si>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</si>
  <si>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</si>
  <si>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</si>
  <si>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</si>
  <si>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</si>
  <si>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</si>
  <si>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</si>
  <si>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</si>
  <si>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</si>
  <si>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</si>
  <si>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</si>
  <si>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</si>
  <si>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</si>
  <si>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</si>
  <si>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</si>
  <si>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</si>
  <si>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</si>
  <si>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</si>
  <si>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</si>
  <si>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</si>
  <si>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</si>
  <si>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</si>
  <si>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</si>
  <si>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</si>
  <si>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</si>
  <si>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</si>
  <si>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</si>
  <si>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</si>
  <si>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</si>
  <si>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</si>
  <si>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</si>
  <si>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</si>
  <si>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</si>
  <si>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</si>
  <si>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</si>
  <si>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</si>
  <si>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</si>
  <si>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</si>
  <si>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</si>
  <si>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</si>
  <si>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</si>
  <si>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</si>
  <si>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</si>
  <si>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</si>
  <si>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</si>
  <si>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</si>
  <si>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</si>
  <si>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</si>
  <si>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</si>
  <si>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</si>
  <si>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</si>
  <si>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</si>
  <si>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</si>
  <si>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</si>
  <si>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</si>
  <si>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</si>
  <si>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</si>
  <si>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</si>
  <si>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</si>
  <si>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</si>
  <si>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</si>
  <si>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</si>
  <si>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</si>
  <si>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</si>
  <si>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</si>
  <si>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</si>
  <si>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</si>
  <si>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</si>
  <si>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</si>
  <si>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</si>
  <si>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</si>
  <si>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</si>
  <si>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</si>
  <si>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</si>
  <si>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</si>
  <si>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</si>
  <si>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</si>
  <si>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</si>
  <si>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</si>
  <si>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</si>
  <si>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</si>
  <si>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</si>
  <si>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</si>
  <si>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</si>
  <si>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</si>
  <si>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</si>
  <si>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</si>
  <si>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</si>
  <si>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</si>
  <si>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</si>
  <si>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</si>
  <si>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</si>
  <si>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</si>
  <si>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</si>
  <si>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</si>
  <si>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</si>
  <si>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</si>
  <si>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</si>
  <si>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</si>
  <si>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</si>
  <si>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</si>
  <si>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</si>
  <si>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</si>
  <si>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</si>
  <si>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</si>
  <si>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</si>
  <si>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</si>
  <si>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</si>
  <si>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</si>
  <si>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</si>
  <si>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</si>
  <si>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</si>
  <si>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</si>
  <si>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</si>
  <si>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</si>
  <si>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</si>
  <si>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</si>
  <si>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</si>
  <si>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</si>
  <si>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</si>
  <si>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</si>
  <si>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</si>
  <si>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</si>
  <si>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</si>
  <si>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</si>
  <si>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</si>
  <si>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</si>
  <si>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</si>
  <si>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</si>
  <si>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</si>
  <si>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</si>
  <si>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</si>
  <si>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</si>
  <si>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</si>
  <si>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</si>
  <si>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</si>
  <si>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</si>
  <si>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</si>
  <si>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</si>
  <si>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</si>
  <si>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</si>
  <si>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</si>
  <si>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</si>
  <si>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</si>
  <si>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</si>
  <si>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</si>
  <si>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</si>
  <si>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</si>
  <si>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</si>
  <si>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</si>
  <si>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</si>
  <si>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</si>
  <si>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</si>
  <si>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</si>
  <si>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</si>
  <si>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</si>
  <si>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</si>
  <si>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</si>
  <si>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</si>
  <si>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</si>
  <si>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</si>
  <si>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</si>
  <si>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</si>
  <si>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</si>
  <si>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</si>
  <si>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</si>
  <si>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</si>
  <si>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</si>
  <si>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</si>
  <si>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</si>
  <si>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</si>
  <si>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</si>
  <si>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</si>
  <si>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</si>
  <si>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</si>
  <si>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</si>
  <si>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</si>
  <si>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</si>
  <si>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</si>
  <si>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</si>
  <si>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</si>
  <si>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</si>
  <si>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</si>
  <si>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</si>
  <si>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</si>
  <si>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</si>
  <si>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</si>
  <si>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</si>
  <si>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</si>
  <si>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</si>
  <si>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</si>
  <si>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</si>
  <si>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</si>
  <si>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</si>
  <si>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</si>
  <si>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</si>
  <si>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</si>
  <si>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</si>
  <si>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</si>
  <si>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</si>
  <si>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</si>
  <si>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</si>
  <si>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</si>
  <si>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</si>
  <si>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</si>
  <si>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</si>
  <si>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</si>
  <si>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</si>
  <si>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</si>
  <si>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</si>
  <si>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</si>
  <si>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</si>
  <si>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</si>
  <si>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</si>
  <si>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</si>
  <si>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</si>
  <si>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</si>
  <si>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</si>
  <si>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</si>
  <si>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</si>
  <si>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</si>
  <si>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</si>
  <si>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</si>
  <si>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</si>
  <si>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</si>
  <si>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</si>
  <si>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</si>
  <si>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</si>
  <si>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</si>
  <si>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</si>
  <si>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</si>
  <si>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</si>
  <si>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</si>
  <si>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</si>
  <si>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</si>
  <si>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</si>
  <si>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</si>
  <si>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</si>
  <si>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</si>
  <si>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</si>
  <si>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</si>
  <si>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</si>
  <si>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</si>
  <si>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</si>
  <si>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</si>
  <si>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</si>
  <si>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</si>
  <si>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</si>
  <si>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</si>
  <si>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</si>
  <si>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</si>
  <si>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</si>
  <si>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</si>
  <si>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</si>
  <si>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</si>
  <si>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</si>
  <si>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</si>
  <si>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</si>
  <si>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</si>
  <si>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</si>
  <si>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</si>
  <si>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</si>
  <si>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</si>
  <si>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</si>
  <si>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</si>
  <si>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</si>
  <si>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</si>
  <si>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</si>
  <si>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</si>
  <si>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</si>
  <si>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</si>
  <si>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</si>
  <si>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</si>
  <si>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</si>
  <si>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</si>
  <si>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</si>
  <si>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</si>
  <si>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</si>
  <si>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</si>
  <si>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</si>
  <si>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</si>
  <si>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</si>
  <si>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</si>
  <si>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</si>
  <si>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</si>
  <si>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</si>
  <si>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</si>
  <si>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</si>
  <si>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</si>
  <si>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</si>
  <si>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</si>
  <si>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</si>
  <si>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</si>
  <si>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</si>
  <si>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</si>
  <si>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</si>
  <si>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</si>
  <si>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</si>
  <si>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</si>
  <si>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</si>
  <si>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</si>
  <si>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</si>
  <si>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</si>
  <si>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</si>
  <si>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</si>
  <si>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</si>
  <si>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</si>
  <si>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</si>
  <si>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</si>
  <si>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</si>
  <si>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</si>
  <si>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</si>
  <si>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</si>
  <si>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</si>
  <si>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</si>
  <si>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</si>
  <si>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</si>
  <si>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</si>
  <si>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</si>
  <si>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</si>
  <si>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</si>
  <si>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</si>
  <si>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</si>
  <si>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</si>
  <si>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</si>
  <si>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</si>
  <si>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</si>
  <si>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</si>
  <si>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</si>
  <si>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</si>
  <si>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</si>
  <si>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</si>
  <si>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</si>
  <si>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</si>
  <si>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</si>
  <si>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</si>
  <si>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</si>
  <si>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</si>
  <si>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</si>
  <si>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</si>
  <si>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</si>
  <si>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</si>
  <si>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</si>
  <si>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</si>
  <si>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</si>
  <si>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</si>
  <si>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</si>
  <si>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</si>
  <si>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</si>
  <si>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</si>
  <si>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</si>
  <si>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</si>
  <si>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</si>
  <si>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</si>
  <si>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</si>
  <si>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</si>
  <si>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</si>
  <si>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</si>
  <si>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</si>
  <si>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</si>
  <si>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</si>
  <si>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</si>
  <si>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</si>
  <si>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</si>
  <si>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</si>
  <si>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</si>
  <si>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</si>
  <si>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</si>
  <si>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</si>
  <si>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</si>
  <si>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</si>
  <si>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</si>
  <si>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</si>
  <si>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</si>
  <si>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</si>
  <si>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</si>
  <si>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</si>
  <si>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</si>
  <si>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</si>
  <si>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</si>
  <si>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</si>
  <si>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</si>
  <si>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</si>
  <si>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</si>
  <si>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</si>
  <si>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</si>
  <si>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</si>
  <si>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</si>
  <si>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</si>
  <si>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</si>
  <si>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</si>
  <si>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</si>
  <si>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</si>
  <si>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</si>
  <si>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</si>
  <si>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</si>
  <si>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</si>
  <si>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</si>
  <si>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</si>
  <si>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</si>
  <si>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</si>
  <si>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</si>
  <si>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</si>
  <si>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</si>
  <si>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</si>
  <si>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</si>
  <si>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</si>
  <si>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</si>
  <si>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</si>
  <si>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</si>
  <si>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</si>
  <si>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</si>
  <si>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</si>
  <si>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</si>
  <si>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</si>
  <si>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</si>
  <si>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</si>
  <si>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</si>
  <si>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</si>
  <si>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</si>
  <si>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</si>
  <si>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</si>
  <si>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</si>
  <si>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</si>
  <si>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</si>
  <si>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</si>
  <si>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</si>
  <si>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</si>
  <si>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</si>
  <si>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</si>
  <si>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</si>
  <si>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</si>
  <si>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</si>
  <si>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</si>
  <si>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</si>
  <si>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</si>
  <si>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</si>
  <si>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</si>
  <si>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</si>
  <si>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</si>
  <si>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</si>
  <si>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</si>
  <si>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</si>
  <si>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</si>
  <si>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</si>
  <si>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</si>
  <si>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</si>
  <si>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</si>
  <si>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</si>
  <si>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</si>
  <si>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</si>
  <si>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</si>
  <si>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</si>
  <si>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</si>
  <si>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</si>
  <si>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</si>
  <si>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</si>
  <si>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</si>
  <si>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</si>
  <si>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</si>
  <si>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</si>
  <si>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</si>
  <si>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</si>
  <si>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</si>
  <si>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</si>
  <si>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</si>
  <si>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</si>
  <si>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</si>
  <si>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</si>
  <si>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</si>
  <si>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</si>
  <si>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</si>
  <si>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</si>
  <si>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</si>
  <si>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</si>
  <si>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</si>
  <si>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</si>
  <si>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</si>
  <si>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</si>
  <si>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</si>
  <si>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</si>
  <si>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</si>
  <si>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</si>
  <si>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</si>
  <si>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</si>
  <si>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</si>
  <si>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</si>
  <si>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</si>
  <si>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</si>
  <si>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</si>
  <si>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</si>
  <si>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</si>
  <si>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</si>
  <si>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</si>
  <si>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</si>
  <si>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</si>
  <si>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</si>
  <si>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</si>
  <si>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</si>
  <si>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</si>
  <si>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</si>
  <si>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</si>
  <si>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</si>
  <si>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</si>
  <si>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</si>
  <si>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</si>
  <si>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</si>
  <si>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</si>
  <si>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</si>
  <si>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</si>
  <si>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</si>
  <si>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</si>
  <si>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</si>
  <si>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</si>
  <si>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</si>
  <si>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</si>
  <si>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</si>
  <si>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</si>
  <si>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</si>
  <si>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</si>
  <si>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</si>
  <si>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</si>
  <si>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</si>
  <si>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</si>
  <si>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</si>
  <si>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</si>
  <si>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</si>
  <si>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</si>
  <si>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</si>
  <si>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</si>
  <si>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</si>
  <si>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</si>
  <si>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</si>
  <si>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</si>
  <si>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</si>
  <si>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</si>
  <si>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</si>
  <si>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</si>
  <si>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</si>
  <si>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</si>
  <si>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</si>
  <si>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</si>
  <si>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</si>
  <si>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</si>
  <si>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</si>
  <si>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</si>
  <si>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</si>
  <si>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</si>
  <si>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</si>
  <si>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</si>
  <si>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</si>
  <si>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</si>
  <si>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</si>
  <si>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</si>
  <si>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</si>
  <si>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</si>
  <si>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</si>
  <si>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</si>
  <si>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</si>
  <si>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</si>
  <si>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</si>
  <si>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</si>
  <si>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</si>
  <si>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</si>
  <si>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</si>
  <si>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</si>
  <si>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</si>
  <si>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</si>
  <si>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</si>
  <si>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</si>
  <si>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</si>
  <si>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</si>
  <si>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</si>
  <si>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</si>
  <si>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</si>
  <si>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</si>
  <si>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</si>
  <si>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</si>
  <si>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</si>
  <si>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</si>
  <si>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</si>
  <si>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</si>
  <si>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</si>
  <si>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</si>
  <si>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</si>
  <si>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</si>
  <si>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</si>
  <si>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</si>
  <si>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</si>
  <si>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</si>
  <si>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</si>
  <si>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</si>
  <si>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</si>
  <si>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</si>
  <si>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</si>
  <si>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</si>
  <si>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</si>
  <si>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</si>
  <si>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</si>
  <si>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</si>
  <si>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</si>
  <si>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</si>
  <si>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</si>
  <si>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</si>
  <si>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</si>
  <si>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</si>
  <si>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</si>
  <si>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</si>
  <si>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</si>
  <si>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</si>
  <si>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</si>
  <si>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</si>
  <si>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</si>
  <si>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</si>
  <si>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</si>
  <si>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</si>
  <si>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</si>
  <si>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</si>
  <si>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</si>
  <si>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</si>
  <si>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</si>
  <si>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</si>
  <si>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</si>
  <si>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</si>
  <si>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</si>
  <si>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</si>
  <si>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</si>
  <si>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</si>
  <si>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</si>
  <si>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</si>
  <si>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</si>
  <si>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</si>
  <si>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</si>
  <si>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</si>
  <si>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</si>
  <si>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</si>
  <si>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</si>
  <si>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</si>
  <si>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</si>
  <si>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</si>
  <si>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</si>
  <si>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</si>
  <si>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</si>
  <si>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</si>
  <si>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</si>
  <si>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</si>
  <si>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</si>
  <si>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</si>
  <si>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</si>
  <si>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</si>
  <si>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</si>
  <si>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</si>
  <si>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</si>
  <si>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</si>
  <si>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</si>
  <si>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</si>
  <si>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</si>
  <si>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</si>
  <si>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</si>
  <si>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</si>
  <si>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</si>
  <si>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</si>
  <si>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</si>
  <si>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</si>
  <si>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</si>
  <si>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</si>
  <si>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</si>
  <si>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</si>
  <si>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</si>
  <si>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</si>
  <si>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</si>
  <si>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</si>
  <si>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</si>
  <si>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</si>
  <si>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</si>
  <si>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</si>
  <si>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</si>
  <si>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</si>
  <si>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</si>
  <si>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</si>
  <si>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</si>
  <si>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</si>
  <si>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</si>
  <si>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</si>
  <si>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</si>
  <si>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</si>
  <si>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</si>
  <si>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</si>
  <si>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</si>
  <si>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</si>
  <si>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</si>
  <si>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</si>
  <si>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</si>
  <si>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</si>
  <si>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</si>
  <si>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</si>
  <si>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</si>
  <si>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</si>
  <si>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</si>
  <si>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</si>
  <si>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</si>
  <si>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</si>
  <si>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</si>
  <si>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</si>
  <si>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</si>
  <si>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</si>
  <si>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</si>
  <si>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</si>
  <si>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</si>
  <si>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</si>
  <si>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</si>
  <si>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</si>
  <si>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</si>
  <si>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</si>
  <si>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</si>
  <si>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</si>
  <si>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</si>
  <si>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</si>
  <si>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</si>
  <si>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</si>
  <si>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</si>
  <si>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</si>
  <si>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</si>
  <si>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</si>
  <si>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</si>
  <si>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</si>
  <si>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</si>
  <si>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</si>
  <si>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</si>
  <si>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</si>
  <si>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</si>
  <si>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</si>
  <si>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</si>
  <si>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</si>
  <si>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</si>
  <si>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</si>
  <si>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</si>
  <si>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</si>
  <si>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</si>
  <si>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</si>
  <si>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</si>
  <si>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</si>
  <si>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</si>
  <si>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</si>
  <si>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</si>
  <si>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</si>
  <si>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</si>
  <si>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</si>
  <si>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</si>
  <si>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</si>
  <si>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</si>
  <si>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</si>
  <si>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</si>
  <si>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</si>
  <si>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</si>
  <si>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</si>
  <si>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</si>
  <si>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</si>
  <si>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</si>
  <si>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</si>
  <si>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</si>
  <si>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</si>
  <si>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</si>
  <si>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</si>
  <si>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</si>
  <si>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</si>
  <si>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</si>
  <si>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</si>
  <si>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</si>
  <si>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</si>
  <si>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</si>
  <si>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</si>
  <si>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</si>
  <si>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</si>
  <si>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</si>
  <si>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</si>
  <si>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</si>
  <si>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</si>
  <si>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</si>
  <si>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</si>
  <si>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</si>
  <si>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</si>
  <si>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</si>
  <si>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</si>
  <si>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</si>
  <si>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</si>
  <si>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</si>
  <si>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</si>
  <si>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</si>
  <si>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</si>
  <si>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</si>
  <si>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</si>
  <si>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</si>
  <si>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</si>
  <si>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</si>
  <si>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</si>
  <si>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</si>
  <si>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</si>
  <si>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</si>
  <si>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</si>
  <si>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</si>
  <si>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</si>
  <si>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</si>
  <si>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</si>
  <si>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</si>
  <si>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</si>
  <si>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</si>
  <si>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</si>
  <si>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</si>
  <si>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</si>
  <si>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</si>
  <si>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</si>
  <si>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</si>
  <si>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</si>
  <si>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</si>
  <si>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</si>
  <si>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</si>
  <si>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</si>
  <si>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</si>
  <si>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</si>
  <si>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</si>
  <si>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</si>
  <si>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</si>
  <si>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</si>
  <si>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</si>
  <si>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</si>
  <si>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</si>
  <si>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</si>
  <si>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</si>
  <si>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</si>
  <si>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</si>
  <si>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</si>
  <si>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</si>
  <si>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</si>
  <si>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</si>
  <si>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</si>
  <si>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</si>
  <si>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</si>
  <si>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</si>
  <si>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</si>
  <si>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</si>
  <si>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</si>
  <si>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</si>
  <si>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</si>
  <si>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</si>
  <si>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</si>
  <si>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</si>
  <si>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</si>
  <si>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</si>
  <si>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</si>
  <si>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</si>
  <si>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</si>
  <si>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</si>
  <si>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</si>
  <si>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</si>
  <si>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</si>
  <si>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</si>
  <si>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</si>
  <si>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</si>
  <si>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</si>
  <si>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</si>
  <si>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</si>
  <si>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</si>
  <si>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</si>
  <si>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</si>
  <si>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</si>
  <si>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</si>
  <si>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</si>
  <si>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</si>
  <si>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</si>
  <si>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</si>
  <si>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</si>
  <si>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</si>
  <si>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</si>
  <si>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</si>
  <si>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</si>
  <si>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</si>
  <si>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</si>
  <si>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</si>
  <si>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</si>
  <si>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</si>
  <si>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</si>
  <si>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</si>
  <si>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</si>
  <si>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</si>
  <si>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</si>
  <si>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</si>
  <si>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</si>
  <si>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</si>
  <si>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</si>
  <si>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</si>
  <si>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</si>
  <si>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</si>
  <si>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</si>
  <si>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</si>
  <si>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</si>
  <si>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</si>
  <si>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</si>
  <si>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</si>
  <si>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</si>
  <si>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</si>
  <si>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</si>
  <si>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</si>
  <si>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</si>
  <si>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</si>
  <si>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</si>
  <si>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</si>
  <si>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</si>
  <si>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</si>
  <si>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</si>
  <si>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</si>
  <si>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</si>
  <si>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</si>
  <si>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</si>
  <si>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</si>
  <si>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</si>
  <si>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</si>
  <si>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</si>
  <si>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</si>
  <si>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</si>
  <si>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</si>
  <si>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</si>
  <si>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</si>
  <si>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</si>
  <si>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</si>
  <si>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</si>
  <si>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</si>
  <si>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</si>
  <si>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</si>
  <si>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</si>
  <si>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</si>
  <si>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</si>
  <si>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</si>
  <si>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</si>
  <si>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</si>
  <si>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</si>
  <si>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</si>
  <si>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</si>
  <si>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</si>
  <si>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</si>
  <si>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</si>
  <si>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</si>
  <si>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</si>
  <si>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</si>
  <si>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</si>
  <si>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</si>
  <si>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</si>
  <si>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</si>
  <si>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</si>
  <si>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</si>
  <si>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</si>
  <si>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</si>
  <si>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</si>
  <si>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</si>
  <si>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</si>
  <si>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</si>
  <si>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</si>
  <si>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</si>
  <si>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</si>
  <si>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</si>
  <si>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</si>
  <si>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</si>
  <si>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</si>
  <si>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</si>
  <si>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</si>
  <si>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</si>
  <si>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</si>
  <si>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</si>
  <si>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</si>
  <si>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</si>
  <si>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</si>
  <si>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</si>
  <si>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</si>
  <si>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</si>
  <si>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</si>
  <si>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</si>
  <si>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</si>
  <si>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</si>
  <si>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</si>
  <si>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</si>
  <si>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</si>
  <si>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</si>
  <si>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</si>
  <si>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</si>
  <si>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</si>
  <si>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</si>
  <si>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</si>
  <si>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</si>
  <si>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</si>
  <si>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</si>
  <si>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</si>
  <si>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</si>
  <si>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</si>
  <si>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</si>
  <si>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</si>
  <si>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</si>
  <si>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</si>
  <si>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</si>
  <si>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</si>
  <si>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</si>
  <si>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</si>
  <si>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</si>
  <si>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</si>
  <si>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</si>
  <si>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</si>
  <si>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</si>
  <si>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</si>
  <si>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</si>
  <si>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</si>
  <si>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</si>
  <si>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</si>
  <si>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</si>
  <si>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</si>
  <si>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</si>
  <si>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</si>
  <si>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</si>
  <si>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</si>
  <si>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</si>
  <si>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</si>
  <si>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</si>
  <si>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</si>
  <si>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</si>
  <si>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</si>
  <si>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</si>
  <si>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</si>
  <si>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</si>
  <si>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</si>
  <si>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</si>
  <si>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</si>
  <si>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</si>
  <si>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</si>
  <si>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</si>
  <si>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</si>
  <si>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</si>
  <si>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</si>
  <si>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</si>
  <si>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</si>
  <si>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</si>
  <si>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</si>
  <si>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</si>
  <si>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</si>
  <si>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</si>
  <si>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</si>
  <si>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</si>
  <si>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</si>
  <si>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</si>
  <si>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</si>
  <si>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</si>
  <si>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</si>
  <si>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</si>
  <si>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</si>
  <si>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</si>
  <si>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</si>
  <si>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</si>
  <si>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</si>
  <si>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</si>
  <si>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</si>
  <si>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</si>
  <si>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</si>
  <si>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</si>
  <si>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</si>
  <si>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</si>
  <si>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</si>
  <si>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</si>
  <si>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</si>
  <si>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</si>
  <si>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</si>
  <si>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</si>
  <si>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</si>
  <si>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</si>
  <si>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</si>
  <si>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</si>
  <si>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</si>
  <si>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</si>
  <si>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</si>
  <si>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</si>
  <si>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</si>
  <si>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</si>
  <si>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</si>
  <si>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</si>
  <si>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</si>
  <si>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</si>
  <si>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</si>
  <si>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</si>
  <si>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</si>
  <si>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</si>
  <si>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</si>
  <si>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</si>
  <si>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</si>
  <si>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</si>
  <si>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</si>
  <si>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</si>
  <si>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</si>
  <si>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</si>
  <si>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</si>
  <si>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</si>
  <si>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</si>
  <si>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</si>
  <si>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</si>
  <si>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</si>
  <si>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</si>
  <si>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</si>
  <si>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</si>
  <si>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</si>
  <si>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</si>
  <si>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</si>
  <si>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</si>
  <si>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</si>
  <si>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</si>
  <si>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</si>
  <si>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</si>
  <si>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</si>
  <si>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</si>
  <si>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</si>
  <si>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</si>
  <si>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</si>
  <si>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</si>
  <si>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</si>
  <si>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</si>
  <si>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</si>
  <si>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</si>
  <si>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</si>
  <si>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</si>
  <si>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</si>
  <si>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</si>
  <si>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</si>
  <si>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</si>
  <si>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</si>
  <si>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</si>
  <si>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</si>
  <si>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</si>
  <si>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</si>
  <si>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</si>
  <si>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</si>
  <si>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</si>
  <si>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</si>
  <si>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</si>
  <si>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</si>
  <si>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</si>
  <si>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</si>
  <si>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</si>
  <si>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</si>
  <si>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</si>
  <si>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</si>
  <si>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</si>
  <si>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</si>
  <si>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</si>
  <si>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</si>
  <si>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</si>
  <si>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</si>
  <si>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</si>
  <si>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</si>
  <si>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</si>
  <si>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</si>
  <si>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</si>
  <si>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</si>
  <si>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</si>
  <si>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</si>
  <si>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</si>
  <si>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</si>
  <si>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</si>
  <si>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</si>
  <si>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</si>
  <si>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</si>
  <si>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</si>
  <si>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</si>
  <si>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</si>
  <si>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</si>
  <si>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</si>
  <si>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</si>
  <si>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</si>
  <si>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</si>
  <si>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</si>
  <si>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</si>
  <si>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</si>
  <si>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</si>
  <si>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</si>
  <si>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</si>
  <si>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</si>
  <si>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</si>
  <si>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</si>
  <si>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</si>
  <si>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</si>
  <si>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</si>
  <si>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</si>
  <si>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</si>
  <si>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</si>
  <si>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</si>
  <si>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</si>
  <si>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</si>
  <si>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</si>
  <si>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</si>
  <si>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</si>
  <si>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</si>
  <si>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</si>
  <si>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</si>
  <si>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</si>
  <si>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</si>
  <si>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</si>
  <si>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</si>
  <si>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</si>
  <si>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</si>
  <si>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</si>
  <si>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</si>
  <si>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</si>
  <si>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</si>
  <si>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</si>
  <si>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</si>
  <si>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</si>
  <si>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</si>
  <si>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</si>
  <si>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</si>
  <si>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</si>
  <si>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</si>
  <si>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</si>
  <si>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</si>
  <si>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</si>
  <si>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</si>
  <si>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</si>
  <si>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</si>
  <si>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</si>
  <si>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</si>
  <si>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</si>
  <si>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</si>
  <si>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</si>
  <si>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</si>
  <si>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</si>
  <si>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</si>
  <si>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</si>
  <si>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</si>
  <si>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</si>
  <si>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</si>
  <si>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</si>
  <si>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</si>
  <si>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</si>
  <si>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</si>
  <si>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</si>
  <si>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</si>
  <si>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</si>
  <si>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</si>
  <si>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</si>
  <si>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</si>
  <si>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</si>
  <si>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</si>
  <si>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</si>
  <si>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</si>
  <si>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</si>
  <si>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</si>
  <si>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</si>
  <si>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</si>
  <si>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</si>
  <si>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</si>
  <si>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</si>
  <si>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</si>
  <si>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</si>
  <si>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</si>
  <si>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</si>
  <si>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</si>
  <si>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</si>
  <si>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</si>
  <si>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</si>
  <si>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</si>
  <si>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</si>
  <si>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</si>
  <si>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</si>
  <si>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</si>
  <si>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</si>
  <si>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</si>
  <si>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</si>
  <si>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</si>
  <si>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</si>
  <si>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</si>
  <si>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</si>
  <si>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</si>
  <si>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</si>
  <si>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</si>
  <si>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</si>
  <si>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</si>
  <si>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</si>
  <si>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</si>
  <si>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</si>
  <si>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</si>
  <si>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</si>
  <si>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</si>
  <si>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</si>
  <si>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</si>
  <si>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</si>
  <si>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</si>
  <si>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</si>
  <si>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</si>
  <si>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</si>
  <si>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</si>
  <si>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</si>
  <si>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</si>
  <si>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</si>
  <si>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</si>
  <si>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</si>
  <si>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</si>
  <si>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</si>
  <si>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</si>
  <si>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</si>
  <si>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</si>
  <si>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</si>
  <si>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</si>
  <si>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</si>
  <si>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</si>
  <si>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</si>
  <si>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</si>
  <si>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</si>
  <si>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</si>
  <si>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</si>
  <si>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</si>
  <si>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</si>
  <si>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</si>
  <si>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</si>
  <si>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</si>
  <si>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</si>
  <si>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</si>
  <si>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</si>
  <si>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</si>
  <si>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</si>
  <si>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</si>
  <si>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</si>
  <si>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</si>
  <si>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</si>
  <si>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</si>
  <si>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</si>
  <si>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</si>
  <si>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</si>
  <si>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</si>
  <si>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</si>
  <si>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</si>
  <si>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</si>
  <si>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</si>
  <si>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</si>
  <si>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</si>
  <si>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</si>
  <si>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</si>
  <si>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</si>
  <si>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</si>
  <si>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</si>
  <si>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</si>
  <si>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</si>
  <si>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</si>
  <si>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</si>
  <si>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</si>
  <si>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</si>
  <si>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</si>
  <si>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</si>
  <si>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</si>
  <si>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</si>
  <si>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</si>
  <si>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</si>
  <si>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</si>
  <si>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</si>
  <si>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</si>
  <si>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</si>
  <si>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</si>
  <si>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</si>
  <si>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</si>
  <si>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</si>
  <si>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</si>
  <si>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</si>
  <si>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</si>
  <si>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</si>
  <si>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</si>
  <si>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</si>
  <si>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</si>
  <si>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</si>
  <si>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</si>
  <si>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</si>
  <si>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</si>
  <si>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</si>
  <si>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</si>
  <si>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</si>
  <si>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</si>
  <si>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</si>
  <si>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</si>
  <si>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</si>
  <si>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</si>
  <si>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</si>
  <si>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</si>
  <si>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</si>
  <si>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</si>
  <si>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</si>
  <si>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</si>
  <si>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</si>
  <si>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</si>
  <si>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</si>
  <si>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</si>
  <si>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</si>
  <si>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</si>
  <si>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</si>
  <si>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</si>
  <si>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</si>
  <si>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</si>
  <si>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</si>
  <si>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</si>
  <si>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</si>
  <si>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</si>
  <si>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</si>
  <si>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</si>
  <si>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</si>
  <si>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</si>
  <si>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</si>
  <si>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</si>
  <si>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</si>
  <si>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</si>
  <si>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</si>
  <si>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</si>
  <si>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</si>
  <si>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</si>
  <si>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</si>
  <si>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</si>
  <si>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</si>
  <si>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</si>
  <si>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</si>
  <si>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</si>
  <si>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</si>
  <si>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</si>
  <si>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</si>
  <si>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</si>
  <si>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</si>
  <si>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</si>
  <si>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</si>
  <si>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</si>
  <si>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</si>
  <si>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</si>
  <si>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</si>
  <si>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</si>
  <si>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</si>
  <si>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</si>
  <si>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</si>
  <si>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</si>
  <si>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</si>
  <si>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</si>
  <si>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</si>
  <si>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</si>
  <si>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</si>
  <si>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</si>
  <si>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</si>
  <si>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</si>
  <si>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</si>
  <si>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</si>
  <si>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</si>
  <si>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</si>
  <si>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</si>
  <si>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</si>
  <si>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</si>
  <si>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</si>
  <si>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</si>
  <si>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</si>
  <si>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</si>
  <si>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</si>
  <si>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</si>
  <si>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</si>
  <si>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</si>
  <si>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</si>
  <si>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</si>
  <si>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</si>
  <si>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</si>
  <si>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</si>
  <si>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</si>
  <si>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</si>
  <si>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</si>
  <si>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</si>
  <si>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</si>
  <si>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</si>
  <si>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</si>
  <si>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</si>
  <si>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</si>
  <si>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</si>
  <si>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</si>
  <si>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</si>
  <si>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</si>
  <si>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</si>
  <si>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</si>
  <si>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</si>
  <si>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</si>
  <si>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</si>
  <si>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</si>
  <si>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</si>
  <si>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</si>
  <si>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</si>
  <si>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</si>
  <si>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</si>
  <si>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</si>
  <si>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</si>
  <si>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</si>
  <si>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</si>
  <si>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</si>
  <si>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</si>
  <si>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</si>
  <si>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</si>
  <si>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</si>
  <si>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</si>
  <si>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</si>
  <si>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</si>
  <si>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</si>
  <si>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</si>
  <si>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</si>
  <si>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</si>
  <si>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</si>
  <si>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</si>
  <si>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</si>
  <si>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</si>
  <si>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</si>
  <si>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</si>
  <si>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</si>
  <si>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</si>
  <si>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</si>
  <si>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</si>
  <si>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</si>
  <si>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</si>
  <si>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</si>
  <si>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</si>
  <si>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</si>
  <si>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</si>
  <si>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</si>
  <si>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</si>
  <si>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</si>
  <si>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</si>
  <si>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</si>
  <si>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</si>
  <si>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</si>
  <si>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</si>
  <si>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</si>
  <si>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</si>
  <si>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</si>
  <si>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</si>
  <si>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</si>
  <si>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</si>
  <si>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</si>
  <si>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</si>
  <si>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</si>
  <si>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</si>
  <si>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</si>
  <si>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</si>
  <si>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</si>
  <si>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</si>
  <si>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</si>
  <si>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</si>
  <si>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</si>
  <si>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</si>
  <si>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</si>
  <si>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</si>
  <si>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</si>
  <si>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</si>
  <si>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</si>
  <si>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</si>
  <si>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</si>
  <si>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</si>
  <si>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</si>
  <si>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</si>
  <si>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</si>
  <si>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</si>
  <si>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</si>
  <si>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</si>
  <si>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</si>
  <si>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</si>
  <si>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</si>
  <si>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</si>
  <si>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</si>
  <si>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</si>
  <si>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</si>
  <si>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</si>
  <si>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</si>
  <si>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</si>
  <si>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</si>
  <si>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</si>
  <si>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</si>
  <si>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</si>
  <si>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</si>
  <si>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</si>
  <si>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</si>
  <si>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</si>
  <si>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</si>
  <si>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</si>
  <si>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</si>
  <si>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</si>
  <si>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</si>
  <si>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</si>
  <si>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</si>
  <si>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</si>
  <si>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</si>
  <si>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</si>
  <si>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</si>
  <si>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</si>
  <si>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</si>
  <si>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</si>
  <si>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</si>
  <si>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</si>
  <si>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</si>
  <si>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</si>
  <si>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</si>
  <si>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</si>
  <si>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</si>
  <si>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</si>
  <si>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</si>
  <si>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</si>
  <si>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</si>
  <si>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</si>
  <si>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</si>
  <si>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</si>
  <si>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</si>
  <si>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</si>
  <si>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</si>
  <si>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</si>
  <si>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</si>
  <si>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</si>
  <si>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</si>
  <si>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</si>
  <si>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</si>
  <si>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</si>
  <si>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</si>
  <si>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</si>
  <si>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</si>
  <si>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</si>
  <si>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</si>
  <si>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</si>
  <si>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</si>
  <si>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</si>
  <si>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</si>
  <si>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</si>
  <si>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</si>
  <si>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</si>
  <si>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</si>
  <si>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</si>
  <si>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</si>
  <si>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</si>
  <si>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</si>
  <si>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</si>
  <si>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</si>
  <si>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</si>
  <si>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</si>
  <si>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</si>
  <si>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</si>
  <si>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</si>
  <si>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</si>
  <si>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</si>
  <si>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</si>
  <si>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</si>
  <si>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</si>
  <si>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</si>
  <si>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</si>
  <si>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</si>
  <si>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</si>
  <si>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</si>
  <si>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</si>
  <si>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</si>
  <si>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</si>
  <si>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</si>
  <si>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</si>
  <si>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</si>
  <si>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</si>
  <si>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</si>
  <si>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</si>
  <si>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</si>
  <si>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</si>
  <si>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</si>
  <si>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</si>
  <si>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</si>
  <si>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</si>
  <si>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</si>
  <si>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</si>
  <si>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</si>
  <si>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</si>
  <si>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</si>
  <si>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</si>
  <si>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</si>
  <si>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</si>
  <si>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</si>
  <si>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</si>
  <si>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</si>
  <si>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</si>
  <si>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</si>
  <si>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</si>
  <si>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</si>
  <si>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</si>
  <si>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</si>
  <si>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</si>
  <si>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</si>
  <si>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</si>
  <si>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</si>
  <si>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</si>
  <si>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</si>
  <si>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</si>
  <si>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</si>
  <si>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</si>
  <si>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</si>
  <si>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</si>
  <si>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</si>
  <si>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</si>
  <si>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</si>
  <si>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</si>
  <si>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</si>
  <si>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</si>
  <si>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</si>
  <si>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</si>
  <si>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</si>
  <si>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</si>
  <si>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</si>
  <si>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</si>
  <si>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</si>
  <si>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</si>
  <si>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</si>
  <si>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</si>
  <si>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</si>
  <si>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</si>
  <si>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</si>
  <si>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</si>
  <si>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</si>
  <si>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</si>
  <si>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</si>
  <si>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</si>
  <si>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</si>
  <si>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</si>
  <si>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</si>
  <si>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</si>
  <si>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</si>
  <si>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</si>
  <si>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</si>
  <si>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</si>
  <si>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</si>
  <si>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</si>
  <si>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</si>
  <si>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</si>
  <si>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</si>
  <si>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</si>
  <si>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</si>
  <si>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</si>
  <si>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</si>
  <si>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</si>
  <si>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</si>
  <si>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</si>
  <si>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</si>
  <si>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</si>
  <si>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</si>
  <si>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</si>
  <si>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</si>
  <si>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</si>
  <si>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</si>
  <si>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</si>
  <si>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</si>
  <si>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</si>
  <si>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</si>
  <si>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</si>
  <si>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</si>
  <si>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</si>
  <si>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</si>
  <si>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</si>
  <si>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</si>
  <si>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</si>
  <si>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</si>
  <si>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</si>
  <si>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</si>
  <si>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</si>
  <si>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</si>
  <si>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</si>
  <si>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</si>
  <si>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</si>
  <si>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</si>
  <si>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</si>
  <si>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</si>
  <si>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</si>
  <si>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</si>
  <si>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</si>
  <si>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</si>
  <si>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</si>
  <si>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</si>
  <si>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</si>
  <si>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</si>
  <si>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</si>
  <si>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</si>
  <si>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</si>
  <si>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</si>
  <si>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</si>
  <si>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</si>
  <si>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</si>
  <si>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</si>
  <si>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</si>
  <si>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</si>
  <si>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</si>
  <si>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</si>
  <si>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</si>
  <si>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</si>
  <si>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</si>
  <si>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</si>
  <si>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</si>
  <si>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</si>
  <si>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</si>
  <si>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</si>
  <si>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</si>
  <si>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</si>
  <si>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</si>
  <si>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</si>
  <si>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</si>
  <si>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</si>
  <si>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</si>
  <si>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</si>
  <si>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</si>
  <si>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</si>
  <si>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</si>
  <si>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</si>
  <si>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</si>
  <si>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</si>
  <si>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</si>
  <si>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</si>
  <si>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</si>
  <si>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</si>
  <si>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</si>
  <si>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</si>
  <si>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</si>
  <si>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</si>
  <si>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</si>
  <si>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</si>
  <si>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</si>
  <si>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</si>
  <si>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</si>
  <si>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</si>
  <si>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</si>
  <si>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</si>
  <si>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</si>
  <si>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</si>
  <si>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</si>
  <si>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</si>
  <si>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</si>
  <si>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</si>
  <si>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</si>
  <si>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</si>
  <si>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</si>
  <si>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</si>
  <si>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</si>
  <si>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</si>
  <si>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</si>
  <si>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</si>
  <si>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</si>
  <si>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</si>
  <si>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</si>
  <si>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</si>
  <si>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</si>
  <si>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</si>
  <si>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</si>
  <si>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</si>
  <si>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</si>
  <si>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</si>
  <si>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</si>
  <si>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</si>
  <si>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</si>
  <si>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</si>
  <si>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</si>
  <si>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</si>
  <si>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</si>
  <si>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</si>
  <si>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</si>
  <si>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</si>
  <si>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</si>
  <si>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</si>
  <si>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</si>
  <si>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</si>
  <si>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</si>
  <si>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</si>
  <si>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</si>
  <si>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</si>
  <si>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</si>
  <si>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</si>
  <si>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</si>
  <si>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</si>
  <si>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</si>
  <si>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</si>
  <si>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</si>
  <si>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</si>
  <si>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</si>
  <si>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</si>
  <si>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</si>
  <si>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</si>
  <si>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</si>
  <si>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</si>
  <si>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</si>
  <si>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</si>
  <si>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</si>
  <si>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</si>
  <si>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</si>
  <si>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</si>
  <si>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</si>
  <si>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</si>
  <si>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</si>
  <si>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</si>
  <si>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</si>
  <si>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</si>
  <si>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</si>
  <si>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</si>
  <si>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</si>
  <si>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</si>
  <si>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</si>
  <si>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</si>
  <si>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</si>
  <si>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</si>
  <si>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</si>
  <si>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</si>
  <si>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</si>
  <si>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</si>
  <si>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</si>
  <si>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</si>
  <si>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</si>
  <si>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</si>
  <si>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</si>
  <si>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</si>
  <si>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</si>
  <si>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</si>
  <si>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</si>
  <si>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</si>
  <si>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</si>
  <si>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</si>
  <si>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</si>
  <si>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</si>
  <si>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</si>
  <si>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</si>
  <si>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</si>
  <si>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</si>
  <si>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</si>
  <si>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</si>
  <si>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</si>
  <si>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</si>
  <si>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</si>
  <si>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</si>
  <si>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</si>
  <si>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</si>
  <si>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</si>
  <si>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</si>
  <si>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</si>
  <si>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</si>
  <si>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</si>
  <si>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</si>
  <si>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</si>
  <si>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</si>
  <si>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</si>
  <si>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</si>
  <si>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</si>
  <si>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</si>
  <si>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</si>
  <si>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</si>
  <si>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</si>
  <si>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</si>
  <si>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</si>
  <si>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</si>
  <si>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</si>
  <si>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</si>
  <si>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</si>
  <si>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</si>
  <si>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</si>
  <si>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</si>
  <si>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</si>
  <si>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</si>
  <si>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</si>
  <si>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</si>
  <si>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</si>
  <si>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</si>
  <si>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</si>
  <si>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</si>
  <si>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</si>
  <si>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</si>
  <si>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</si>
  <si>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</si>
  <si>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</si>
  <si>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</si>
  <si>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</si>
  <si>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</si>
  <si>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</si>
  <si>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</si>
  <si>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</si>
  <si>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</si>
  <si>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</si>
  <si>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</si>
  <si>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</si>
  <si>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</si>
  <si>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</si>
  <si>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</si>
  <si>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</si>
  <si>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</si>
  <si>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</si>
  <si>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</si>
  <si>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</si>
  <si>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</si>
  <si>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</si>
  <si>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</si>
  <si>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</si>
  <si>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</si>
  <si>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</si>
  <si>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</si>
  <si>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</si>
  <si>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</si>
  <si>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</si>
  <si>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</si>
  <si>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</si>
  <si>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</si>
  <si>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</si>
  <si>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</si>
  <si>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</si>
  <si>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</si>
  <si>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</si>
  <si>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</si>
  <si>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</si>
  <si>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</si>
  <si>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</si>
  <si>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</si>
  <si>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</si>
  <si>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</si>
  <si>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</si>
  <si>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</si>
  <si>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</si>
  <si>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</si>
  <si>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</si>
  <si>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</si>
  <si>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</si>
  <si>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</si>
  <si>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</si>
  <si>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</si>
  <si>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</si>
  <si>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</si>
  <si>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</si>
  <si>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</si>
  <si>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</si>
  <si>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</si>
  <si>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</si>
  <si>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</si>
  <si>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</si>
  <si>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</si>
  <si>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</si>
  <si>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</si>
  <si>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</si>
  <si>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</si>
  <si>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</si>
  <si>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</si>
  <si>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</si>
  <si>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</si>
  <si>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</si>
  <si>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</si>
  <si>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</si>
  <si>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</si>
  <si>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</si>
  <si>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</si>
  <si>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</si>
  <si>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</si>
  <si>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</si>
  <si>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</si>
  <si>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</si>
  <si>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</si>
  <si>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</si>
  <si>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</si>
  <si>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</si>
  <si>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</si>
  <si>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</si>
  <si>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</si>
  <si>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</si>
  <si>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</si>
  <si>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</si>
  <si>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</si>
  <si>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</si>
  <si>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</si>
  <si>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</si>
  <si>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</si>
  <si>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</si>
  <si>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</si>
  <si>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</si>
  <si>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</si>
  <si>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</si>
  <si>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</si>
  <si>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</si>
  <si>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</si>
  <si>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</si>
  <si>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</si>
  <si>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</si>
  <si>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</si>
  <si>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</si>
  <si>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</si>
  <si>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</si>
  <si>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</si>
  <si>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</si>
  <si>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</si>
  <si>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</si>
  <si>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</si>
  <si>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</si>
  <si>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</si>
  <si>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</si>
  <si>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</si>
  <si>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</si>
  <si>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</si>
  <si>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</si>
  <si>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</si>
  <si>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</si>
  <si>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</si>
  <si>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</si>
  <si>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</si>
  <si>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</si>
  <si>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</si>
  <si>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</si>
  <si>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</si>
  <si>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</si>
  <si>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</si>
  <si>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</si>
  <si>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</si>
  <si>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</si>
  <si>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</si>
  <si>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</si>
  <si>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</si>
  <si>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</si>
  <si>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</si>
  <si>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</si>
  <si>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</si>
  <si>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</si>
  <si>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</si>
  <si>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</si>
  <si>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</si>
  <si>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</si>
  <si>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</si>
  <si>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</si>
  <si>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</si>
  <si>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</si>
  <si>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</si>
  <si>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</si>
  <si>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</si>
  <si>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</si>
  <si>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</si>
  <si>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</si>
  <si>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</si>
  <si>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</si>
  <si>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</si>
  <si>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</si>
  <si>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</si>
  <si>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</si>
  <si>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</si>
  <si>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</si>
  <si>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</si>
  <si>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</si>
  <si>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</si>
  <si>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</si>
  <si>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</si>
  <si>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</si>
  <si>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</si>
  <si>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</si>
  <si>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</si>
  <si>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</si>
  <si>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</si>
  <si>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</si>
  <si>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</si>
  <si>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</si>
  <si>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</si>
  <si>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</si>
  <si>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</si>
  <si>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</si>
  <si>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</si>
  <si>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</si>
  <si>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</si>
  <si>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</si>
  <si>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</si>
  <si>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</si>
  <si>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</si>
  <si>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</si>
  <si>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</si>
  <si>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</si>
  <si>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</si>
  <si>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</si>
  <si>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</si>
  <si>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</si>
  <si>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</si>
  <si>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</si>
  <si>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</si>
  <si>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</si>
  <si>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</si>
  <si>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</si>
  <si>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</si>
  <si>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</si>
  <si>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</si>
  <si>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</si>
  <si>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</si>
  <si>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</si>
  <si>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</si>
  <si>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</si>
  <si>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</si>
  <si>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</si>
  <si>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</si>
  <si>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</si>
  <si>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</si>
  <si>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</si>
  <si>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</si>
  <si>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</si>
  <si>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</si>
  <si>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</si>
  <si>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</si>
  <si>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</si>
  <si>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</si>
  <si>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</si>
  <si>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</si>
  <si>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</si>
  <si>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</si>
  <si>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</si>
  <si>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</si>
  <si>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</si>
  <si>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</si>
  <si>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</si>
  <si>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</si>
  <si>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</si>
  <si>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</si>
  <si>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</si>
  <si>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</si>
  <si>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</si>
  <si>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</si>
  <si>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</si>
  <si>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</si>
  <si>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</si>
  <si>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</si>
  <si>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</si>
  <si>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</si>
  <si>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</si>
  <si>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</si>
  <si>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</si>
  <si>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</si>
  <si>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</si>
  <si>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</si>
  <si>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</si>
  <si>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</si>
  <si>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</si>
  <si>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</si>
  <si>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</si>
  <si>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</si>
  <si>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</si>
  <si>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</si>
  <si>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</si>
  <si>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</si>
  <si>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</si>
  <si>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</si>
  <si>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</si>
  <si>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</si>
  <si>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</si>
  <si>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</si>
  <si>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</si>
  <si>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</si>
  <si>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</si>
  <si>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</si>
  <si>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</si>
  <si>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</si>
  <si>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</si>
  <si>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</si>
  <si>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</si>
  <si>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</si>
  <si>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</si>
  <si>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</si>
  <si>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</si>
  <si>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</si>
  <si>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</si>
  <si>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</si>
  <si>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</si>
  <si>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</si>
  <si>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</si>
  <si>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</si>
  <si>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</si>
  <si>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</si>
  <si>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</si>
  <si>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</si>
  <si>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</si>
  <si>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</si>
  <si>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</si>
  <si>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</si>
  <si>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</si>
  <si>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</si>
  <si>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</si>
  <si>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</si>
  <si>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</si>
  <si>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</si>
  <si>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</si>
  <si>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</si>
  <si>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</si>
  <si>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</si>
  <si>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</si>
  <si>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</si>
  <si>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</si>
  <si>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</si>
  <si>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</si>
  <si>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</si>
  <si>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</si>
  <si>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</si>
  <si>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</si>
  <si>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</si>
  <si>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</si>
  <si>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</si>
  <si>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</si>
  <si>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</si>
  <si>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</si>
  <si>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</si>
  <si>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</si>
  <si>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</si>
  <si>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</si>
  <si>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</si>
  <si>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</si>
  <si>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</si>
  <si>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</si>
  <si>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</si>
  <si>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</si>
  <si>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</si>
  <si>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</si>
  <si>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</si>
  <si>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</si>
  <si>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</si>
  <si>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</si>
  <si>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</si>
  <si>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</si>
  <si>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</si>
  <si>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</si>
  <si>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</si>
  <si>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</si>
  <si>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</si>
  <si>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</si>
  <si>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</si>
  <si>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</si>
  <si>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</si>
  <si>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</si>
  <si>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</si>
  <si>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</si>
  <si>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</si>
  <si>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</si>
  <si>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</si>
  <si>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</si>
  <si>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</si>
  <si>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</si>
  <si>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</si>
  <si>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</si>
  <si>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</si>
  <si>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</si>
  <si>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</si>
  <si>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</si>
  <si>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</si>
  <si>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</si>
  <si>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</si>
  <si>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</si>
  <si>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</si>
  <si>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</si>
  <si>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</si>
  <si>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</si>
  <si>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</si>
  <si>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</si>
  <si>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</si>
  <si>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</si>
  <si>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</si>
  <si>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</si>
  <si>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</si>
  <si>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</si>
  <si>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</si>
  <si>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</si>
  <si>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</si>
  <si>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</si>
  <si>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</si>
  <si>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</si>
  <si>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</si>
  <si>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</si>
  <si>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</si>
  <si>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</si>
  <si>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</si>
  <si>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</si>
  <si>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</si>
  <si>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</si>
  <si>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</si>
  <si>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</si>
  <si>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</si>
  <si>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</si>
  <si>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</si>
  <si>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</si>
  <si>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</si>
  <si>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</si>
  <si>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</si>
  <si>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</si>
  <si>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</si>
  <si>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</si>
  <si>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</si>
  <si>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</si>
  <si>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</si>
  <si>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</si>
  <si>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</si>
  <si>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</si>
  <si>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</si>
  <si>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</si>
  <si>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</si>
  <si>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</si>
  <si>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</si>
  <si>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</si>
  <si>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</si>
  <si>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</si>
  <si>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</si>
  <si>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</si>
  <si>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</si>
  <si>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</si>
  <si>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</si>
  <si>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</si>
  <si>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</si>
  <si>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</si>
  <si>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</si>
  <si>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</si>
  <si>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</si>
  <si>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</si>
  <si>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</si>
  <si>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</si>
  <si>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</si>
  <si>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</si>
  <si>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</si>
  <si>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</si>
  <si>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</si>
  <si>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</si>
  <si>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</si>
  <si>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</si>
  <si>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</si>
  <si>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</si>
  <si>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</si>
  <si>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</si>
  <si>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</si>
  <si>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</si>
  <si>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</si>
  <si>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</si>
  <si>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</si>
  <si>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</si>
  <si>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</si>
  <si>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</si>
  <si>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</si>
  <si>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</si>
  <si>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</si>
  <si>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</si>
  <si>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</si>
  <si>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</si>
  <si>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</si>
  <si>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</si>
  <si>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</si>
  <si>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</si>
  <si>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</si>
  <si>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</si>
  <si>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</si>
  <si>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</si>
  <si>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</si>
  <si>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</si>
  <si>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</si>
  <si>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</si>
  <si>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</si>
  <si>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</si>
  <si>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</si>
  <si>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</si>
  <si>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</si>
  <si>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</si>
  <si>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</si>
  <si>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</si>
  <si>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</si>
  <si>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</si>
  <si>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</si>
  <si>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</si>
  <si>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</si>
  <si>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</si>
  <si>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</si>
  <si>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</si>
  <si>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</si>
  <si>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</si>
  <si>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</si>
  <si>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</si>
  <si>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</si>
  <si>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</si>
  <si>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</si>
  <si>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</si>
  <si>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</si>
  <si>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</si>
  <si>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</si>
  <si>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</si>
  <si>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</si>
  <si>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</si>
  <si>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</si>
  <si>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</si>
  <si>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</si>
  <si>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</si>
  <si>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</si>
  <si>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</si>
  <si>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</si>
  <si>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</si>
  <si>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</si>
  <si>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</si>
  <si>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</si>
  <si>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</si>
  <si>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</si>
  <si>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</si>
  <si>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</si>
  <si>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</si>
  <si>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</si>
  <si>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</si>
  <si>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</si>
  <si>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</si>
  <si>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</si>
  <si>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</si>
  <si>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</si>
  <si>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</si>
  <si>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</si>
  <si>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</si>
  <si>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</si>
  <si>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</si>
  <si>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</si>
  <si>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</si>
  <si>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</si>
  <si>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</si>
  <si>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</si>
  <si>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</si>
  <si>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</si>
  <si>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</si>
  <si>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</si>
  <si>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</si>
  <si>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</si>
  <si>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</si>
  <si>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</si>
  <si>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</si>
  <si>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</si>
  <si>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</si>
  <si>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</si>
  <si>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</si>
  <si>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</si>
  <si>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</si>
  <si>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</si>
  <si>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</si>
  <si>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</si>
  <si>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</si>
  <si>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</si>
  <si>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</si>
  <si>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</si>
  <si>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</si>
  <si>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</si>
  <si>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</si>
  <si>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</si>
  <si>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</si>
  <si>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</si>
  <si>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</si>
  <si>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</si>
  <si>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</si>
  <si>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</si>
  <si>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</si>
  <si>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</si>
  <si>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</si>
  <si>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</si>
  <si>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</si>
  <si>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</si>
  <si>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</si>
  <si>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</si>
  <si>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</si>
  <si>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</si>
  <si>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</si>
  <si>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</si>
  <si>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</si>
  <si>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</si>
  <si>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</si>
  <si>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</si>
  <si>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</si>
  <si>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</si>
  <si>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</si>
  <si>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</si>
  <si>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</si>
  <si>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</si>
  <si>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</si>
  <si>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</si>
  <si>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</si>
  <si>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</si>
  <si>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</si>
  <si>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</si>
  <si>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</si>
  <si>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</si>
  <si>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</si>
  <si>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</si>
  <si>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</si>
  <si>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</si>
  <si>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</si>
  <si>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</si>
  <si>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</si>
  <si>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</si>
  <si>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</si>
  <si>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</si>
  <si>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</si>
  <si>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</si>
  <si>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</si>
  <si>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</si>
  <si>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</si>
  <si>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</si>
  <si>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</si>
  <si>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</si>
  <si>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</si>
  <si>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</si>
  <si>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</si>
  <si>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</si>
  <si>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</si>
  <si>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</si>
  <si>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</si>
  <si>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</si>
  <si>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</si>
  <si>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</si>
  <si>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</si>
  <si>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</si>
  <si>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</si>
  <si>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</si>
  <si>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</si>
  <si>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</si>
  <si>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</si>
  <si>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</si>
  <si>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</si>
  <si>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</si>
  <si>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</si>
  <si>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</si>
  <si>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</si>
  <si>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</si>
  <si>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</si>
  <si>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</si>
  <si>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</si>
  <si>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</si>
  <si>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</si>
  <si>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</si>
  <si>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</si>
  <si>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</si>
  <si>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</si>
  <si>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</si>
  <si>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</si>
  <si>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</si>
  <si>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</si>
  <si>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</si>
  <si>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</si>
  <si>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</si>
  <si>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</si>
  <si>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</si>
  <si>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</si>
  <si>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</si>
  <si>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</si>
  <si>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</si>
  <si>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</si>
  <si>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</si>
  <si>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</si>
  <si>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</si>
  <si>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</si>
  <si>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</si>
  <si>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</si>
  <si>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</si>
  <si>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</si>
  <si>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</si>
  <si>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</si>
  <si>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</si>
  <si>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</si>
  <si>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</si>
  <si>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</si>
  <si>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</si>
  <si>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</si>
  <si>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</si>
  <si>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</si>
  <si>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</si>
  <si>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</si>
  <si>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</si>
  <si>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</si>
  <si>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</si>
  <si>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</si>
  <si>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</si>
  <si>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</si>
  <si>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</si>
  <si>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</si>
  <si>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</si>
  <si>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</si>
  <si>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</si>
  <si>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</si>
  <si>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</si>
  <si>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</si>
  <si>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</si>
  <si>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</si>
  <si>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</si>
  <si>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</si>
  <si>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</si>
  <si>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</si>
  <si>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</si>
  <si>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</si>
  <si>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</si>
  <si>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</si>
  <si>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</si>
  <si>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</si>
  <si>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</si>
  <si>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</si>
  <si>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</si>
  <si>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</si>
  <si>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</si>
  <si>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</si>
  <si>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</si>
  <si>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</si>
  <si>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</si>
  <si>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</si>
  <si>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</si>
  <si>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</si>
  <si>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</si>
  <si>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</si>
  <si>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</si>
  <si>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</si>
  <si>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</si>
  <si>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</si>
  <si>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</si>
  <si>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</si>
  <si>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</si>
  <si>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</si>
  <si>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</si>
  <si>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</si>
  <si>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</si>
  <si>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</si>
  <si>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</si>
  <si>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</si>
  <si>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</si>
  <si>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</si>
  <si>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</si>
  <si>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</si>
  <si>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</si>
  <si>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</si>
  <si>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</si>
  <si>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</si>
  <si>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</si>
  <si>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</si>
  <si>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</si>
  <si>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</si>
  <si>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</si>
  <si>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</si>
  <si>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</si>
  <si>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</si>
  <si>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</si>
  <si>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</si>
  <si>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</si>
  <si>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</si>
  <si>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</si>
  <si>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</si>
  <si>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</si>
  <si>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</si>
  <si>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</si>
  <si>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</si>
  <si>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</si>
  <si>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</si>
  <si>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</si>
  <si>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</si>
  <si>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</si>
  <si>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</si>
  <si>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</si>
  <si>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</si>
  <si>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</si>
  <si>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</si>
  <si>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</si>
  <si>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</si>
  <si>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</si>
  <si>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</si>
  <si>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</si>
  <si>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</si>
  <si>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</si>
  <si>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</si>
  <si>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</si>
  <si>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</si>
  <si>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</si>
  <si>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</si>
  <si>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</si>
  <si>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</si>
  <si>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</si>
  <si>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</si>
  <si>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</si>
  <si>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</si>
  <si>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</si>
  <si>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</si>
  <si>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</si>
  <si>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</si>
  <si>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</si>
  <si>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</si>
  <si>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</si>
  <si>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</si>
  <si>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</si>
  <si>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</si>
  <si>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</si>
  <si>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</si>
  <si>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</si>
  <si>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</si>
  <si>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</si>
  <si>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</si>
  <si>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</si>
  <si>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</si>
  <si>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</si>
  <si>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</si>
  <si>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</si>
  <si>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</si>
  <si>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</si>
  <si>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</si>
  <si>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</si>
  <si>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</si>
  <si>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</si>
  <si>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</si>
  <si>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</si>
  <si>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</si>
  <si>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</si>
  <si>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</si>
  <si>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</si>
  <si>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</si>
  <si>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</si>
  <si>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</si>
  <si>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</si>
  <si>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</si>
  <si>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</si>
  <si>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</si>
  <si>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</si>
  <si>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</si>
  <si>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</si>
  <si>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</si>
  <si>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</si>
  <si>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</si>
  <si>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</si>
  <si>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</si>
  <si>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</si>
  <si>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</si>
  <si>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</si>
  <si>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</si>
  <si>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</si>
  <si>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</si>
  <si>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</si>
  <si>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</si>
  <si>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</si>
  <si>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</si>
  <si>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</si>
  <si>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</si>
  <si>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</si>
  <si>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</si>
  <si>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</si>
  <si>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</si>
  <si>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</si>
  <si>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</si>
  <si>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</si>
  <si>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</si>
  <si>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</si>
  <si>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</si>
  <si>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</si>
  <si>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</si>
  <si>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</si>
  <si>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</si>
  <si>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</si>
  <si>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</si>
  <si>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</si>
  <si>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</si>
  <si>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</si>
  <si>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</si>
  <si>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</si>
  <si>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</si>
  <si>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</si>
  <si>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</si>
  <si>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</si>
  <si>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</si>
  <si>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</si>
  <si>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</si>
  <si>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</si>
  <si>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</si>
  <si>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</si>
  <si>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</si>
  <si>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</si>
  <si>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</si>
  <si>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</si>
  <si>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</si>
  <si>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</si>
  <si>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</si>
  <si>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</si>
  <si>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</si>
  <si>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</si>
  <si>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</si>
  <si>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</si>
  <si>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</si>
  <si>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</si>
  <si>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</si>
  <si>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</si>
  <si>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</si>
  <si>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</si>
  <si>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</si>
  <si>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</si>
  <si>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</si>
  <si>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</si>
  <si>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</si>
  <si>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</si>
  <si>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</si>
  <si>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</si>
  <si>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</si>
  <si>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</si>
  <si>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</si>
  <si>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</si>
  <si>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</si>
  <si>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</si>
  <si>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</si>
  <si>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</si>
  <si>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</si>
  <si>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</si>
  <si>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</si>
  <si>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</si>
  <si>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</si>
  <si>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</si>
  <si>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</si>
  <si>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</si>
  <si>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</si>
  <si>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</si>
  <si>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</si>
  <si>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</si>
  <si>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</si>
  <si>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</si>
  <si>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</si>
  <si>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</si>
  <si>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</si>
  <si>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</si>
  <si>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</si>
  <si>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</si>
  <si>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</si>
  <si>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</si>
  <si>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</si>
  <si>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</si>
  <si>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</si>
  <si>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</si>
  <si>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</si>
  <si>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</si>
  <si>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</si>
  <si>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</si>
  <si>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</si>
  <si>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</si>
  <si>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</si>
  <si>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</si>
  <si>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</si>
  <si>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</si>
  <si>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</si>
  <si>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</si>
  <si>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</si>
  <si>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</si>
  <si>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</si>
  <si>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</si>
  <si>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</si>
  <si>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</si>
  <si>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</si>
  <si>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</si>
  <si>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</si>
  <si>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</si>
  <si>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</si>
  <si>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</si>
  <si>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</si>
  <si>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</si>
  <si>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</si>
  <si>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</si>
  <si>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</si>
  <si>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</si>
  <si>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</si>
  <si>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</si>
  <si>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</si>
  <si>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</si>
  <si>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</si>
  <si>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</si>
  <si>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</si>
  <si>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</si>
  <si>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</si>
  <si>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</si>
  <si>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</si>
  <si>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</si>
  <si>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</si>
  <si>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</si>
  <si>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</si>
  <si>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</si>
  <si>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</si>
  <si>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</si>
  <si>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</si>
  <si>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</si>
  <si>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</si>
  <si>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</si>
  <si>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</si>
  <si>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</si>
  <si>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</si>
  <si>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</si>
  <si>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</si>
  <si>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</si>
  <si>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</si>
  <si>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</si>
  <si>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</si>
  <si>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</si>
  <si>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</si>
  <si>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</si>
  <si>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</si>
  <si>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</si>
  <si>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</si>
  <si>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</si>
  <si>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</si>
  <si>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</si>
  <si>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</si>
  <si>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</si>
  <si>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</si>
  <si>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</si>
  <si>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</si>
  <si>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</si>
  <si>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</si>
  <si>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</si>
  <si>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</si>
  <si>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</si>
  <si>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</si>
  <si>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</si>
  <si>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</si>
  <si>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</si>
  <si>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</si>
  <si>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</si>
  <si>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</si>
  <si>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</si>
  <si>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</si>
  <si>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</si>
  <si>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</si>
  <si>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</si>
  <si>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</si>
  <si>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</si>
  <si>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</si>
  <si>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</si>
  <si>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</si>
  <si>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</si>
  <si>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</si>
  <si>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</si>
  <si>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</si>
  <si>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</si>
  <si>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</si>
  <si>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</si>
  <si>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</si>
  <si>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</si>
  <si>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</si>
  <si>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</si>
  <si>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</si>
  <si>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</si>
  <si>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</si>
  <si>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</si>
  <si>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</si>
  <si>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</si>
  <si>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</si>
  <si>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</si>
  <si>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</si>
  <si>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</si>
  <si>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</si>
  <si>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</si>
  <si>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</si>
  <si>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</si>
  <si>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</si>
  <si>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</si>
  <si>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</si>
  <si>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</si>
  <si>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</si>
  <si>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</si>
  <si>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</si>
  <si>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</si>
  <si>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</si>
  <si>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</si>
  <si>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</si>
  <si>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</si>
  <si>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</si>
  <si>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</si>
  <si>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</si>
  <si>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</si>
  <si>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</si>
  <si>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</si>
  <si>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</si>
  <si>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</si>
  <si>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</si>
  <si>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</si>
  <si>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</si>
  <si>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</si>
  <si>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</si>
  <si>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</si>
  <si>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</si>
  <si>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</si>
  <si>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</si>
  <si>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</si>
  <si>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</si>
  <si>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</si>
  <si>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</si>
  <si>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</si>
  <si>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</si>
  <si>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</si>
  <si>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</si>
  <si>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</si>
  <si>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</si>
  <si>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</si>
  <si>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</si>
  <si>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</si>
  <si>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</si>
  <si>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</si>
  <si>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</si>
  <si>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</si>
  <si>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</si>
  <si>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</si>
  <si>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</si>
  <si>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</si>
  <si>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</si>
  <si>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</si>
  <si>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</si>
  <si>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</si>
  <si>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</si>
  <si>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</si>
  <si>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</si>
  <si>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</si>
  <si>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</si>
  <si>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</si>
  <si>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</si>
  <si>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</si>
  <si>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</si>
  <si>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</si>
  <si>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</si>
  <si>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</si>
  <si>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</si>
  <si>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</si>
  <si>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</si>
  <si>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</si>
  <si>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</si>
  <si>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</si>
  <si>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</si>
  <si>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</si>
  <si>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</si>
  <si>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</si>
  <si>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</si>
  <si>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</si>
  <si>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</si>
  <si>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</si>
  <si>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</si>
  <si>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</si>
  <si>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</si>
  <si>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</si>
  <si>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</si>
  <si>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</si>
  <si>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</si>
  <si>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</si>
  <si>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</si>
  <si>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</si>
  <si>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</si>
  <si>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</si>
  <si>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</si>
  <si>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</si>
  <si>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</si>
  <si>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</si>
  <si>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</si>
  <si>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</si>
  <si>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</si>
  <si>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</si>
  <si>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</si>
  <si>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</si>
  <si>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</si>
  <si>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</si>
  <si>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</si>
  <si>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</si>
  <si>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</si>
  <si>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</si>
  <si>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</si>
  <si>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</si>
  <si>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</si>
  <si>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</si>
  <si>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</si>
  <si>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</si>
  <si>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</si>
  <si>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</si>
  <si>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</si>
  <si>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</si>
  <si>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</si>
  <si>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</si>
  <si>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</si>
  <si>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</si>
  <si>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</si>
  <si>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</si>
  <si>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</si>
  <si>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</si>
  <si>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</si>
  <si>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</si>
  <si>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</si>
  <si>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</si>
  <si>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</si>
  <si>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</si>
  <si>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</si>
  <si>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</si>
  <si>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</si>
  <si>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</si>
  <si>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</si>
  <si>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</si>
  <si>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</si>
  <si>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</si>
  <si>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</si>
  <si>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</si>
  <si>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</si>
  <si>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</si>
  <si>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</si>
  <si>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</si>
  <si>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</si>
  <si>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</si>
  <si>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</si>
  <si>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</si>
  <si>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</si>
  <si>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</si>
  <si>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</si>
  <si>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</si>
  <si>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</si>
  <si>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</si>
  <si>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</si>
  <si>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</si>
  <si>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</si>
  <si>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</si>
  <si>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</si>
  <si>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</si>
  <si>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</si>
  <si>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</si>
  <si>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</si>
  <si>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</si>
  <si>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</si>
  <si>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</si>
  <si>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</si>
  <si>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</si>
  <si>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</si>
  <si>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</si>
  <si>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</si>
  <si>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</si>
  <si>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</si>
  <si>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</si>
  <si>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</si>
  <si>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</si>
  <si>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</si>
  <si>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</si>
  <si>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</si>
  <si>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</si>
  <si>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</si>
  <si>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</si>
  <si>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</si>
  <si>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</si>
  <si>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</si>
  <si>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</si>
  <si>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</si>
  <si>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</si>
  <si>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</si>
  <si>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</si>
  <si>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</si>
  <si>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</si>
  <si>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</si>
  <si>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</si>
  <si>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</si>
  <si>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</si>
  <si>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</si>
  <si>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</si>
  <si>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</si>
  <si>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</si>
  <si>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</si>
  <si>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</si>
  <si>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</si>
  <si>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</si>
  <si>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</si>
  <si>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</si>
  <si>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</si>
  <si>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</si>
  <si>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</si>
  <si>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</si>
  <si>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</si>
  <si>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</si>
  <si>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</si>
  <si>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</si>
  <si>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</si>
  <si>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</si>
  <si>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</si>
  <si>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</si>
  <si>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</si>
  <si>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</si>
  <si>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</si>
  <si>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</si>
  <si>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</si>
  <si>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</si>
  <si>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</si>
  <si>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</si>
  <si>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</si>
  <si>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</si>
  <si>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</si>
  <si>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</si>
  <si>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</si>
  <si>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</si>
  <si>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</si>
  <si>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</si>
  <si>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</si>
  <si>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</si>
  <si>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</si>
  <si>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</si>
  <si>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</si>
  <si>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</si>
  <si>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</si>
  <si>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</si>
  <si>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</si>
  <si>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</si>
  <si>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</si>
  <si>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</si>
  <si>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</si>
  <si>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</si>
  <si>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</si>
  <si>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</si>
  <si>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</si>
  <si>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</si>
  <si>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</si>
  <si>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</si>
  <si>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</si>
  <si>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</si>
  <si>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</si>
  <si>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</si>
  <si>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</si>
  <si>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</si>
  <si>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</si>
  <si>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</si>
  <si>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</si>
  <si>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</si>
  <si>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</si>
  <si>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</si>
  <si>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</si>
  <si>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</si>
  <si>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</si>
  <si>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</si>
  <si>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</si>
  <si>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</si>
  <si>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</si>
  <si>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</si>
  <si>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</si>
  <si>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</si>
  <si>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</si>
  <si>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</si>
  <si>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</si>
  <si>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</si>
  <si>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</si>
  <si>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</si>
  <si>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</si>
  <si>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</si>
  <si>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</si>
  <si>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</si>
  <si>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</si>
  <si>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</si>
  <si>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</si>
  <si>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</si>
  <si>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</si>
  <si>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</si>
  <si>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</si>
  <si>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</si>
  <si>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</si>
  <si>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</si>
  <si>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</si>
  <si>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</si>
  <si>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</si>
  <si>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</si>
  <si>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</si>
  <si>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</si>
  <si>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</si>
  <si>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</si>
  <si>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</si>
  <si>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</si>
  <si>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</si>
  <si>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</si>
  <si>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</si>
  <si>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</si>
  <si>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</si>
  <si>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</si>
  <si>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</si>
  <si>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</si>
  <si>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</si>
  <si>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</si>
  <si>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</si>
  <si>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</si>
  <si>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</si>
  <si>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</si>
  <si>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</si>
  <si>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</si>
  <si>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</si>
  <si>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</si>
  <si>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</si>
  <si>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</si>
  <si>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</si>
  <si>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</si>
  <si>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</si>
  <si>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</si>
  <si>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</si>
  <si>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</si>
  <si>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</si>
  <si>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</si>
  <si>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</si>
  <si>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</si>
  <si>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</si>
  <si>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</si>
  <si>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</si>
  <si>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</si>
  <si>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</si>
  <si>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</si>
  <si>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</si>
  <si>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</si>
  <si>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</si>
  <si>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</si>
  <si>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</si>
  <si>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</si>
  <si>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</si>
  <si>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</si>
  <si>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</si>
  <si>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</si>
  <si>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</si>
  <si>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</si>
  <si>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</si>
  <si>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</si>
  <si>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</si>
  <si>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</si>
  <si>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</si>
  <si>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</si>
  <si>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</si>
  <si>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</si>
  <si>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</si>
  <si>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</si>
  <si>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</si>
  <si>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</si>
  <si>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</si>
  <si>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</si>
  <si>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</si>
  <si>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</si>
  <si>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</si>
  <si>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</si>
  <si>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</si>
  <si>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</si>
  <si>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</si>
  <si>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</si>
  <si>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</si>
  <si>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</si>
  <si>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</si>
  <si>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</si>
  <si>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</si>
  <si>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</si>
  <si>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</si>
  <si>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</si>
  <si>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</si>
  <si>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</si>
  <si>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</si>
  <si>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</si>
  <si>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</si>
  <si>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</si>
  <si>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</si>
  <si>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</si>
  <si>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</si>
  <si>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</si>
  <si>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</si>
  <si>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</si>
  <si>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</si>
  <si>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</si>
  <si>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</si>
  <si>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</si>
  <si>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</si>
  <si>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</si>
  <si>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</si>
  <si>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</si>
  <si>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</si>
  <si>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</si>
  <si>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</si>
  <si>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</si>
  <si>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</si>
  <si>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</si>
  <si>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</si>
  <si>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</si>
  <si>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</si>
  <si>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</si>
  <si>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</si>
  <si>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</si>
  <si>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</si>
  <si>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</si>
  <si>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</si>
  <si>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</si>
  <si>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</si>
  <si>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</si>
  <si>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</si>
  <si>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</si>
  <si>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</si>
  <si>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</si>
  <si>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</si>
  <si>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</si>
  <si>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</si>
  <si>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</si>
  <si>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</si>
  <si>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</si>
  <si>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</si>
  <si>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</si>
  <si>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</si>
  <si>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</si>
  <si>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</si>
  <si>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</si>
  <si>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</si>
  <si>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</si>
  <si>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</si>
  <si>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</si>
  <si>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</si>
  <si>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</si>
  <si>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</si>
  <si>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</si>
  <si>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</si>
  <si>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</si>
  <si>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</si>
  <si>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</si>
  <si>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</si>
  <si>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</si>
  <si>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</si>
  <si>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</si>
  <si>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</si>
  <si>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</si>
  <si>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</si>
  <si>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</si>
  <si>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</si>
  <si>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</si>
  <si>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</si>
  <si>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</si>
  <si>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</si>
  <si>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</si>
  <si>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</si>
  <si>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</si>
  <si>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</si>
  <si>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</si>
  <si>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</si>
  <si>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</si>
  <si>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</si>
  <si>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</si>
  <si>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</si>
  <si>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</si>
  <si>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</si>
  <si>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</si>
  <si>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</si>
  <si>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</si>
  <si>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</si>
  <si>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</si>
  <si>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</si>
  <si>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</si>
  <si>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</si>
  <si>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</si>
  <si>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</si>
  <si>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</si>
  <si>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</si>
  <si>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</si>
  <si>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</si>
  <si>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</si>
  <si>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</si>
  <si>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</si>
  <si>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</si>
  <si>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</si>
  <si>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</si>
  <si>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</si>
  <si>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</si>
  <si>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</si>
  <si>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</si>
  <si>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</si>
  <si>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</si>
  <si>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</si>
  <si>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</si>
  <si>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</si>
  <si>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</si>
  <si>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</si>
  <si>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</si>
  <si>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</si>
  <si>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</si>
  <si>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</si>
  <si>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</si>
  <si>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</si>
  <si>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</si>
  <si>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</si>
  <si>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</si>
  <si>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</si>
  <si>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</si>
  <si>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</si>
  <si>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</si>
  <si>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</si>
  <si>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</si>
  <si>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</si>
  <si>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</si>
  <si>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</si>
  <si>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</si>
  <si>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</si>
  <si>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</si>
  <si>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</si>
  <si>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</si>
  <si>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</si>
  <si>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</si>
  <si>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</si>
  <si>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</si>
  <si>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</si>
  <si>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</si>
  <si>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</si>
  <si>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</si>
  <si>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</si>
  <si>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</si>
  <si>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</si>
  <si>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</si>
  <si>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</si>
  <si>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</si>
  <si>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</si>
  <si>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</si>
  <si>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</si>
  <si>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</si>
  <si>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</si>
  <si>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</si>
  <si>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</si>
  <si>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</si>
  <si>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</si>
  <si>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</si>
  <si>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</si>
  <si>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</si>
  <si>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</si>
  <si>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</si>
  <si>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</si>
  <si>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</si>
  <si>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</si>
  <si>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</si>
  <si>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</si>
  <si>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</si>
  <si>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</si>
  <si>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</si>
  <si>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</si>
  <si>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</si>
  <si>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</si>
  <si>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</si>
  <si>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</si>
  <si>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</si>
  <si>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</si>
  <si>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</si>
  <si>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</si>
  <si>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</si>
  <si>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</si>
  <si>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</si>
  <si>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</si>
  <si>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</si>
  <si>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</si>
  <si>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</si>
  <si>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</si>
  <si>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</si>
  <si>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</si>
  <si>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</si>
  <si>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</si>
  <si>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</si>
  <si>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</si>
  <si>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</si>
  <si>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</si>
  <si>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</si>
  <si>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</si>
  <si>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</si>
  <si>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</si>
  <si>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</si>
  <si>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</si>
  <si>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</si>
  <si>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</si>
  <si>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</si>
  <si>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</si>
  <si>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</si>
  <si>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</si>
  <si>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</si>
  <si>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</si>
  <si>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</si>
  <si>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</si>
  <si>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</si>
  <si>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</si>
  <si>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</si>
  <si>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</si>
  <si>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</si>
  <si>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</si>
  <si>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</si>
  <si>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</si>
  <si>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</si>
  <si>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</si>
  <si>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</si>
  <si>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</si>
  <si>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</si>
  <si>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</si>
  <si>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</si>
  <si>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</si>
  <si>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</si>
  <si>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</si>
  <si>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</si>
  <si>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</si>
  <si>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</si>
  <si>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</si>
  <si>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</si>
  <si>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</si>
  <si>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</si>
  <si>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</si>
  <si>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</si>
  <si>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</si>
  <si>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</si>
  <si>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</si>
  <si>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</si>
  <si>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</si>
  <si>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</si>
  <si>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</si>
  <si>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</si>
  <si>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</si>
  <si>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</si>
  <si>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</si>
  <si>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</si>
  <si>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</si>
  <si>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</si>
  <si>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</si>
  <si>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</si>
  <si>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</si>
  <si>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</si>
  <si>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</si>
  <si>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</si>
  <si>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</si>
  <si>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</si>
  <si>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</si>
  <si>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</si>
  <si>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</si>
  <si>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</si>
  <si>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</si>
  <si>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</si>
  <si>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</si>
  <si>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</si>
  <si>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</si>
  <si>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</si>
  <si>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</si>
  <si>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</si>
  <si>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</si>
  <si>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</si>
  <si>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</si>
  <si>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</si>
  <si>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</si>
  <si>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</si>
  <si>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</si>
  <si>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</si>
  <si>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</si>
  <si>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</si>
  <si>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</si>
  <si>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</si>
  <si>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</si>
  <si>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</si>
  <si>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</si>
  <si>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</si>
  <si>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</si>
  <si>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</si>
  <si>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</si>
  <si>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</si>
  <si>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</si>
  <si>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</si>
  <si>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</si>
  <si>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</si>
  <si>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</si>
  <si>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</si>
  <si>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</si>
  <si>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</si>
  <si>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</si>
  <si>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</si>
  <si>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</si>
  <si>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</si>
  <si>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</si>
  <si>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</si>
  <si>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</si>
  <si>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</si>
  <si>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</si>
  <si>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</si>
  <si>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</si>
  <si>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</si>
  <si>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</si>
  <si>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</si>
  <si>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</si>
  <si>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</si>
  <si>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</si>
  <si>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</si>
  <si>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</si>
  <si>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</si>
  <si>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</si>
  <si>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</si>
  <si>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</si>
  <si>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</si>
  <si>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</si>
  <si>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</si>
  <si>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</si>
  <si>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</si>
  <si>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</si>
  <si>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</si>
  <si>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</si>
  <si>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</si>
  <si>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</si>
  <si>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</si>
  <si>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</si>
  <si>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</si>
  <si>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</si>
  <si>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</si>
  <si>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</si>
  <si>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</si>
  <si>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</si>
  <si>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</si>
  <si>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</si>
  <si>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</si>
  <si>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</si>
  <si>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</si>
  <si>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</si>
  <si>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</si>
  <si>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</si>
  <si>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</si>
  <si>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</si>
  <si>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</si>
  <si>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</si>
  <si>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</si>
  <si>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</si>
  <si>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</si>
  <si>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</si>
  <si>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</si>
  <si>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</si>
  <si>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</si>
  <si>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</si>
  <si>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</si>
  <si>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</si>
  <si>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</si>
  <si>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</si>
  <si>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</si>
  <si>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</si>
  <si>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</si>
  <si>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</si>
  <si>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</si>
  <si>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</si>
  <si>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</si>
  <si>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</si>
  <si>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</si>
  <si>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</si>
  <si>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</si>
  <si>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</si>
  <si>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</si>
  <si>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</si>
  <si>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</si>
  <si>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</si>
  <si>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</si>
  <si>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</si>
  <si>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</si>
  <si>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</si>
  <si>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</si>
  <si>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</si>
  <si>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</si>
  <si>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</si>
  <si>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</si>
  <si>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</si>
  <si>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</si>
  <si>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</si>
  <si>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</si>
  <si>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</si>
  <si>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</si>
  <si>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</si>
  <si>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</si>
  <si>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</si>
  <si>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</si>
  <si>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</si>
  <si>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</si>
  <si>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</si>
  <si>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</si>
  <si>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</si>
  <si>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</si>
  <si>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</si>
  <si>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</si>
  <si>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</si>
  <si>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</si>
  <si>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</si>
  <si>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</si>
  <si>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</si>
  <si>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</si>
  <si>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</si>
  <si>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</si>
  <si>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</si>
  <si>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</si>
  <si>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</si>
  <si>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</si>
  <si>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</si>
  <si>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</si>
  <si>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</si>
  <si>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</si>
  <si>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</si>
  <si>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</si>
  <si>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</si>
  <si>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</si>
  <si>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</si>
  <si>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</si>
  <si>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</si>
  <si>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</si>
  <si>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</si>
  <si>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</si>
  <si>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</si>
  <si>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</si>
  <si>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</si>
  <si>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</si>
  <si>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</si>
  <si>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</si>
  <si>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</si>
  <si>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</si>
  <si>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</si>
  <si>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</si>
  <si>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</si>
  <si>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</si>
  <si>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</si>
  <si>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</si>
  <si>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</si>
  <si>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</si>
  <si>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</si>
  <si>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</si>
  <si>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</si>
  <si>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</si>
  <si>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</si>
  <si>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</si>
  <si>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</si>
  <si>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</si>
  <si>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</si>
  <si>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</si>
  <si>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</si>
  <si>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</si>
  <si>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</si>
  <si>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</si>
  <si>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</si>
  <si>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</si>
  <si>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</si>
  <si>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</si>
  <si>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</si>
  <si>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</si>
  <si>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</si>
  <si>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</si>
  <si>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</si>
  <si>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</si>
  <si>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</si>
  <si>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</si>
  <si>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</si>
  <si>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</si>
  <si>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</si>
  <si>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</si>
  <si>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</si>
  <si>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</si>
  <si>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</si>
  <si>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</si>
  <si>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</si>
  <si>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</si>
  <si>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</si>
  <si>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</si>
  <si>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</si>
  <si>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</si>
  <si>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</si>
  <si>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</si>
  <si>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</si>
  <si>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</si>
  <si>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</si>
  <si>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</si>
  <si>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</si>
  <si>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</si>
  <si>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</si>
  <si>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</si>
  <si>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</si>
  <si>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</si>
  <si>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</si>
  <si>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</si>
  <si>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</si>
  <si>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</si>
  <si>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</si>
  <si>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</si>
  <si>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</si>
  <si>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</si>
  <si>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</si>
  <si>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</si>
  <si>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</si>
  <si>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</si>
  <si>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</si>
  <si>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</si>
  <si>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</si>
  <si>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</si>
  <si>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</si>
  <si>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</si>
  <si>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</si>
  <si>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</si>
  <si>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</si>
  <si>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</si>
  <si>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</si>
  <si>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</si>
  <si>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</si>
  <si>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</si>
  <si>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</si>
  <si>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</si>
  <si>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</si>
  <si>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</si>
  <si>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</si>
  <si>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</si>
  <si>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</si>
  <si>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</si>
  <si>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</si>
  <si>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</si>
  <si>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</si>
  <si>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</si>
  <si>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</si>
  <si>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</si>
  <si>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</si>
  <si>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</si>
  <si>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</si>
  <si>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</si>
  <si>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</si>
  <si>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</si>
  <si>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</si>
  <si>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</si>
  <si>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</si>
  <si>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</si>
  <si>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</si>
  <si>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</si>
  <si>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</si>
  <si>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</si>
  <si>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</si>
  <si>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</si>
  <si>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</si>
  <si>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</si>
  <si>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</si>
  <si>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</si>
  <si>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</si>
  <si>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</si>
  <si>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</si>
  <si>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</si>
  <si>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</si>
  <si>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</si>
  <si>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</si>
  <si>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</si>
  <si>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</si>
  <si>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</si>
  <si>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</si>
  <si>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</si>
  <si>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</si>
  <si>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</si>
  <si>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</si>
  <si>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</si>
  <si>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</si>
  <si>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</si>
  <si>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</si>
  <si>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</si>
  <si>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</si>
  <si>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</si>
  <si>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</si>
  <si>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</si>
  <si>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</si>
  <si>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</si>
  <si>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</si>
  <si>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</si>
  <si>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</si>
  <si>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</si>
  <si>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</si>
  <si>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</si>
  <si>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</si>
  <si>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</si>
  <si>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</si>
  <si>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</si>
  <si>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</si>
  <si>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</si>
  <si>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</si>
  <si>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</si>
  <si>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</si>
  <si>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</si>
  <si>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</si>
  <si>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</si>
  <si>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</si>
  <si>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</si>
  <si>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</si>
  <si>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</si>
  <si>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</si>
  <si>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</si>
  <si>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</si>
  <si>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</si>
  <si>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</si>
  <si>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</si>
  <si>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</si>
  <si>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</si>
  <si>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</si>
  <si>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</si>
  <si>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</si>
  <si>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</si>
  <si>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</si>
  <si>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</si>
  <si>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</si>
  <si>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</si>
  <si>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</si>
  <si>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</si>
  <si>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</si>
  <si>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</si>
  <si>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</si>
  <si>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</si>
  <si>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</si>
  <si>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</si>
  <si>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</si>
  <si>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</si>
  <si>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</si>
  <si>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</si>
  <si>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</si>
  <si>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</si>
  <si>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</si>
  <si>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</si>
  <si>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</si>
  <si>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</si>
  <si>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</si>
  <si>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</si>
  <si>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</si>
  <si>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</si>
  <si>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</si>
  <si>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</si>
  <si>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</si>
  <si>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</si>
  <si>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</si>
  <si>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</si>
  <si>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</si>
  <si>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</si>
  <si>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</si>
  <si>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</si>
  <si>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</si>
  <si>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</si>
  <si>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</si>
  <si>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</si>
  <si>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</si>
  <si>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</si>
  <si>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</si>
  <si>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</si>
  <si>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</si>
  <si>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</si>
  <si>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</si>
  <si>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</si>
  <si>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</si>
  <si>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</si>
  <si>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</si>
  <si>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</si>
  <si>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</si>
  <si>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</si>
  <si>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</si>
  <si>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</si>
  <si>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</si>
  <si>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</si>
  <si>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</si>
  <si>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</si>
  <si>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</si>
  <si>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</si>
  <si>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</si>
  <si>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</si>
  <si>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</si>
  <si>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</si>
  <si>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</si>
  <si>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</si>
  <si>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</si>
  <si>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</si>
  <si>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</si>
  <si>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</si>
  <si>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</si>
  <si>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</si>
  <si>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</si>
  <si>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</si>
  <si>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</si>
  <si>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</si>
  <si>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</si>
  <si>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</si>
  <si>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</si>
  <si>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</si>
  <si>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</si>
  <si>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</si>
  <si>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</si>
  <si>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</si>
  <si>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</si>
  <si>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</si>
  <si>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</si>
  <si>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</si>
  <si>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</si>
  <si>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</si>
  <si>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</si>
  <si>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</si>
  <si>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</si>
  <si>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</si>
  <si>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</si>
  <si>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</si>
  <si>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</si>
  <si>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</si>
  <si>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</si>
  <si>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</si>
  <si>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</si>
  <si>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</si>
  <si>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</si>
  <si>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</si>
  <si>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</si>
  <si>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</si>
  <si>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</si>
  <si>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</si>
  <si>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</si>
  <si>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</si>
  <si>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</si>
  <si>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</si>
  <si>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</si>
  <si>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</si>
  <si>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</si>
  <si>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</si>
  <si>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</si>
  <si>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</si>
  <si>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</si>
  <si>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</si>
  <si>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</si>
  <si>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</si>
  <si>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</si>
  <si>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</si>
  <si>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</si>
  <si>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</si>
  <si>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</si>
  <si>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</si>
  <si>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</si>
  <si>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</si>
  <si>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</si>
  <si>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</si>
  <si>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</si>
  <si>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</si>
  <si>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</si>
  <si>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</si>
  <si>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</si>
  <si>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</si>
  <si>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</si>
  <si>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</si>
  <si>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</si>
  <si>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</si>
  <si>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</si>
  <si>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</si>
  <si>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</si>
  <si>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</si>
  <si>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</si>
  <si>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</si>
  <si>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</si>
  <si>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</si>
  <si>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</si>
  <si>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</si>
  <si>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</si>
  <si>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</si>
  <si>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</si>
  <si>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</si>
  <si>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</si>
  <si>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</si>
  <si>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</si>
  <si>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</si>
  <si>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</si>
  <si>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</si>
  <si>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</si>
  <si>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</si>
  <si>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</si>
  <si>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</si>
  <si>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</si>
  <si>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</si>
  <si>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</si>
  <si>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</si>
  <si>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</si>
  <si>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</si>
  <si>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</si>
  <si>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</si>
  <si>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</si>
  <si>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</si>
  <si>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</si>
  <si>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</si>
  <si>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</si>
  <si>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</si>
  <si>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</si>
  <si>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</si>
  <si>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</si>
  <si>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</si>
  <si>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</si>
  <si>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</si>
  <si>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</si>
  <si>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</si>
  <si>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</si>
  <si>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</si>
  <si>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</si>
  <si>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</si>
  <si>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</si>
  <si>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</si>
  <si>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</si>
  <si>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</si>
  <si>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</si>
  <si>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</si>
  <si>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</si>
  <si>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</si>
  <si>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</si>
  <si>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</si>
  <si>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</si>
  <si>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</si>
  <si>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</si>
  <si>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</si>
  <si>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</si>
  <si>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</si>
  <si>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</si>
  <si>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</si>
  <si>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</si>
  <si>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</si>
  <si>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</si>
  <si>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</si>
  <si>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</si>
  <si>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</si>
  <si>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</si>
  <si>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</si>
  <si>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</si>
  <si>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</si>
  <si>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</si>
  <si>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</si>
  <si>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</si>
  <si>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</si>
  <si>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</si>
  <si>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</si>
  <si>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</si>
  <si>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</si>
  <si>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</si>
  <si>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</si>
  <si>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</si>
  <si>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</si>
  <si>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</si>
  <si>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</si>
  <si>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</si>
  <si>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</si>
  <si>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</si>
  <si>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</si>
  <si>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</si>
  <si>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</si>
  <si>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</si>
  <si>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</si>
  <si>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</si>
  <si>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</si>
  <si>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</si>
  <si>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</si>
  <si>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</si>
  <si>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</si>
  <si>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</si>
  <si>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</si>
  <si>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</si>
  <si>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</si>
  <si>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</si>
  <si>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</si>
  <si>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</si>
  <si>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</si>
  <si>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</si>
  <si>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</si>
  <si>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</si>
  <si>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</si>
  <si>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</si>
  <si>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</si>
  <si>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</si>
  <si>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</si>
  <si>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</si>
  <si>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</si>
  <si>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</si>
  <si>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</si>
  <si>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</si>
  <si>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</si>
  <si>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</si>
  <si>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</si>
  <si>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</si>
  <si>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</si>
  <si>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</si>
  <si>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</si>
  <si>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</si>
  <si>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</si>
  <si>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</si>
  <si>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</si>
  <si>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</si>
  <si>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</si>
  <si>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</si>
  <si>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</si>
  <si>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</si>
  <si>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</si>
  <si>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</si>
  <si>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</si>
  <si>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</si>
  <si>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</si>
  <si>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</si>
  <si>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</si>
  <si>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</si>
  <si>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</si>
  <si>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</si>
  <si>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</si>
  <si>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</si>
  <si>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</si>
  <si>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</si>
  <si>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</si>
  <si>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</si>
  <si>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</si>
  <si>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</si>
  <si>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</si>
  <si>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</si>
  <si>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</si>
  <si>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</si>
  <si>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</si>
  <si>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</si>
  <si>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</si>
  <si>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</si>
  <si>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</si>
  <si>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</si>
  <si>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</si>
  <si>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</si>
  <si>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</si>
  <si>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</si>
  <si>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</si>
  <si>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</si>
  <si>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</si>
  <si>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</si>
  <si>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</si>
  <si>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</si>
  <si>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</si>
  <si>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</si>
  <si>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</si>
  <si>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</si>
  <si>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</si>
  <si>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</si>
  <si>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</si>
  <si>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</si>
  <si>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</si>
  <si>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</si>
  <si>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</si>
  <si>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</si>
  <si>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</si>
  <si>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</si>
  <si>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</si>
  <si>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</si>
  <si>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</si>
  <si>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</si>
  <si>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</si>
  <si>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</si>
  <si>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</si>
  <si>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</si>
  <si>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</si>
  <si>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</si>
  <si>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</si>
  <si>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</si>
  <si>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</si>
  <si>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</si>
  <si>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</si>
  <si>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</si>
  <si>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</si>
  <si>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</si>
  <si>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</si>
  <si>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</si>
  <si>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</si>
  <si>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</si>
  <si>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</si>
  <si>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</si>
  <si>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</si>
  <si>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</si>
  <si>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</si>
  <si>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</si>
  <si>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</si>
  <si>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</si>
  <si>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</si>
  <si>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</si>
  <si>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</si>
  <si>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</si>
  <si>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</si>
  <si>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</si>
  <si>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</si>
  <si>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</si>
  <si>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</si>
  <si>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</si>
  <si>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</si>
  <si>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</si>
  <si>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</si>
  <si>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</si>
  <si>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</si>
  <si>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</si>
  <si>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</si>
  <si>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</si>
  <si>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</si>
  <si>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</si>
  <si>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</si>
  <si>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</si>
  <si>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</si>
  <si>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</si>
  <si>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</si>
  <si>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</si>
  <si>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</si>
  <si>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</si>
  <si>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</si>
  <si>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</si>
  <si>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</si>
  <si>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</si>
  <si>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</si>
  <si>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</si>
  <si>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</si>
  <si>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</si>
  <si>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</si>
  <si>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</si>
  <si>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</si>
  <si>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</si>
  <si>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</si>
  <si>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</si>
  <si>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</si>
  <si>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</si>
  <si>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</si>
  <si>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</si>
  <si>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</si>
  <si>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</si>
  <si>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</si>
  <si>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</si>
  <si>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</si>
  <si>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</si>
  <si>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</si>
  <si>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</si>
  <si>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</si>
  <si>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</si>
  <si>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</si>
  <si>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</si>
  <si>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</si>
  <si>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</si>
  <si>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</si>
  <si>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</si>
  <si>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</si>
  <si>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</si>
  <si>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</si>
  <si>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</si>
  <si>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</si>
  <si>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</si>
  <si>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</si>
  <si>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</si>
  <si>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</si>
  <si>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</si>
  <si>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</si>
  <si>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</si>
  <si>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</si>
  <si>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</si>
  <si>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</si>
  <si>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</si>
  <si>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</si>
  <si>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</si>
  <si>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</si>
  <si>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</si>
  <si>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</si>
  <si>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</si>
  <si>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</si>
  <si>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</si>
  <si>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</si>
  <si>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</si>
  <si>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</si>
  <si>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</si>
  <si>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</si>
  <si>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</si>
  <si>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</si>
  <si>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</si>
  <si>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</si>
  <si>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</si>
  <si>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</si>
  <si>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</si>
  <si>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</si>
  <si>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</si>
  <si>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</si>
  <si>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</si>
  <si>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</si>
  <si>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</si>
  <si>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</si>
  <si>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</si>
  <si>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</si>
  <si>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</si>
  <si>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</si>
  <si>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</si>
  <si>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</si>
  <si>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</si>
  <si>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</si>
  <si>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</si>
  <si>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</si>
  <si>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</si>
  <si>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</si>
  <si>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</si>
  <si>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</si>
  <si>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</si>
  <si>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</si>
  <si>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</si>
  <si>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</si>
  <si>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</si>
  <si>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</si>
  <si>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</si>
  <si>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</si>
  <si>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</si>
  <si>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</si>
  <si>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</si>
  <si>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</si>
  <si>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</si>
  <si>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</si>
  <si>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</si>
  <si>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</si>
  <si>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</si>
  <si>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</si>
  <si>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</si>
  <si>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</si>
  <si>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</si>
  <si>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</si>
  <si>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</si>
  <si>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</si>
  <si>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</si>
  <si>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</si>
  <si>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</si>
  <si>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</si>
  <si>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</si>
  <si>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</si>
  <si>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</si>
  <si>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</si>
  <si>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</si>
  <si>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</si>
  <si>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</si>
  <si>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</si>
  <si>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</si>
  <si>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</si>
  <si>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</si>
  <si>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</si>
  <si>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</si>
  <si>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</si>
  <si>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</si>
  <si>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</si>
  <si>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</si>
  <si>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</si>
  <si>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</si>
  <si>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</si>
  <si>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</si>
  <si>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</si>
  <si>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</si>
  <si>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</si>
  <si>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</si>
  <si>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</si>
  <si>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</si>
  <si>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</si>
  <si>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</si>
  <si>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</si>
  <si>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</si>
  <si>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</si>
  <si>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</si>
  <si>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</si>
  <si>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</si>
  <si>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</si>
  <si>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</si>
  <si>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</si>
  <si>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</si>
  <si>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</si>
  <si>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</si>
  <si>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</si>
  <si>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</si>
  <si>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</si>
  <si>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</si>
  <si>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</si>
  <si>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</si>
  <si>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</si>
  <si>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</si>
  <si>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</si>
  <si>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</si>
  <si>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</si>
  <si>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</si>
  <si>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</si>
  <si>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</si>
  <si>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</si>
  <si>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</si>
  <si>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</si>
  <si>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</si>
  <si>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</si>
  <si>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</si>
  <si>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</si>
  <si>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</si>
  <si>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</si>
  <si>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</si>
  <si>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</si>
  <si>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</si>
  <si>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</si>
  <si>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</si>
  <si>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</si>
  <si>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</si>
  <si>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</si>
  <si>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</si>
  <si>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</si>
  <si>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</si>
  <si>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</si>
  <si>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</si>
  <si>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</si>
  <si>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</si>
  <si>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</si>
  <si>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</si>
  <si>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</si>
  <si>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</si>
  <si>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</si>
  <si>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</si>
  <si>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</si>
  <si>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</si>
  <si>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</si>
  <si>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</si>
  <si>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</si>
  <si>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</si>
  <si>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</si>
  <si>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</si>
  <si>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</si>
  <si>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</si>
  <si>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</si>
  <si>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</si>
  <si>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</si>
  <si>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</si>
  <si>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</si>
  <si>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</si>
  <si>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</si>
  <si>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</si>
  <si>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</si>
  <si>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</si>
  <si>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</si>
  <si>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</si>
  <si>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</si>
  <si>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</si>
  <si>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</si>
  <si>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</si>
  <si>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</si>
  <si>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</si>
  <si>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</si>
  <si>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</si>
  <si>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</si>
  <si>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</si>
  <si>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</si>
  <si>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</si>
  <si>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</si>
  <si>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</si>
  <si>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</si>
  <si>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</si>
  <si>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</si>
  <si>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</si>
  <si>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</si>
  <si>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</si>
  <si>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</si>
  <si>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</si>
  <si>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</si>
  <si>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</si>
  <si>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</si>
  <si>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</si>
  <si>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</si>
  <si>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</si>
  <si>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</si>
  <si>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</si>
  <si>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</si>
  <si>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</si>
  <si>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</si>
  <si>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</si>
  <si>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</si>
  <si>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</si>
  <si>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</si>
  <si>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</si>
  <si>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</si>
  <si>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</si>
  <si>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</si>
  <si>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</si>
  <si>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</si>
  <si>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</si>
  <si>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</si>
  <si>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</si>
  <si>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</si>
  <si>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</si>
  <si>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</si>
  <si>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</si>
  <si>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</si>
  <si>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</si>
  <si>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</si>
  <si>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</si>
  <si>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</si>
  <si>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</si>
  <si>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</si>
  <si>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</si>
  <si>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</si>
  <si>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</si>
  <si>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</si>
  <si>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</si>
  <si>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</si>
  <si>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</si>
  <si>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</si>
  <si>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</si>
  <si>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</si>
  <si>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</si>
  <si>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</si>
  <si>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</si>
  <si>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</si>
  <si>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</si>
  <si>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</si>
  <si>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</si>
  <si>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</si>
  <si>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</si>
  <si>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</si>
  <si>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</si>
  <si>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</si>
  <si>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</si>
  <si>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</si>
  <si>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</si>
  <si>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</si>
  <si>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</si>
  <si>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</si>
  <si>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</si>
  <si>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</si>
  <si>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</si>
  <si>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</si>
  <si>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</si>
  <si>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</si>
  <si>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</si>
  <si>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</si>
  <si>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</si>
  <si>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</si>
  <si>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</si>
  <si>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</si>
  <si>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</si>
  <si>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</si>
  <si>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</si>
  <si>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</si>
  <si>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</si>
  <si>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</si>
  <si>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</si>
  <si>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</si>
  <si>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</si>
  <si>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</si>
  <si>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</si>
  <si>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</si>
  <si>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</si>
  <si>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</si>
  <si>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</si>
  <si>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</si>
  <si>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</si>
  <si>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</si>
  <si>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</si>
  <si>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</si>
  <si>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</si>
  <si>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</si>
  <si>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</si>
  <si>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</si>
  <si>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</si>
  <si>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</si>
  <si>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</si>
  <si>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</si>
  <si>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</si>
  <si>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</si>
  <si>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</si>
  <si>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</si>
  <si>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</si>
  <si>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</si>
  <si>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</si>
  <si>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</si>
  <si>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</si>
  <si>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</si>
  <si>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</si>
  <si>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</si>
  <si>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</si>
  <si>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</si>
  <si>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</si>
  <si>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</si>
  <si>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</si>
  <si>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</si>
  <si>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</si>
  <si>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</si>
  <si>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</si>
  <si>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</si>
  <si>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</si>
  <si>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</si>
  <si>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</si>
  <si>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</si>
  <si>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</si>
  <si>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</si>
  <si>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</si>
  <si>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</si>
  <si>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</si>
  <si>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</si>
  <si>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</si>
  <si>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</si>
  <si>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</si>
  <si>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</si>
  <si>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</si>
  <si>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</si>
  <si>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</si>
  <si>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</si>
  <si>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</si>
  <si>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</si>
  <si>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</si>
  <si>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</si>
  <si>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</si>
  <si>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</si>
  <si>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</si>
  <si>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</si>
  <si>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</si>
  <si>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</si>
  <si>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</si>
  <si>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</si>
  <si>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</si>
  <si>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</si>
  <si>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</si>
  <si>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</si>
  <si>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</si>
  <si>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</si>
  <si>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</si>
  <si>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</si>
  <si>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</si>
  <si>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</si>
  <si>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</si>
  <si>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</si>
  <si>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</si>
  <si>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</si>
  <si>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</si>
  <si>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</si>
  <si>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</si>
  <si>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</si>
  <si>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</si>
  <si>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</si>
  <si>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</si>
  <si>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</si>
  <si>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</si>
  <si>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</si>
  <si>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</si>
  <si>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</si>
  <si>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</si>
  <si>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</si>
  <si>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</si>
  <si>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</si>
  <si>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</si>
  <si>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</si>
  <si>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</si>
  <si>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</si>
  <si>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</si>
  <si>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</si>
  <si>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</si>
  <si>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</si>
  <si>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</si>
  <si>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</si>
  <si>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</si>
  <si>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</si>
  <si>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</si>
  <si>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</si>
  <si>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</si>
  <si>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</si>
  <si>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</si>
  <si>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</si>
  <si>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</si>
  <si>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</si>
  <si>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</si>
  <si>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</si>
  <si>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</si>
  <si>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</si>
  <si>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</si>
  <si>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</si>
  <si>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</si>
  <si>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</si>
  <si>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</si>
  <si>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</si>
  <si>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</si>
  <si>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</si>
  <si>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</si>
  <si>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</si>
  <si>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</si>
  <si>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</si>
  <si>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</si>
  <si>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</si>
  <si>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</si>
  <si>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</si>
  <si>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</si>
  <si>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</si>
  <si>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</si>
  <si>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</si>
  <si>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</si>
  <si>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</si>
  <si>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</si>
  <si>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</si>
  <si>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</si>
  <si>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</si>
  <si>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</si>
  <si>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</si>
  <si>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</si>
  <si>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</si>
  <si>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</si>
  <si>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</si>
  <si>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</si>
  <si>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</si>
  <si>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</si>
  <si>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</si>
  <si>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</si>
  <si>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</si>
  <si>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</si>
  <si>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</si>
  <si>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</si>
  <si>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</si>
  <si>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</si>
  <si>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</si>
  <si>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</si>
  <si>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</si>
  <si>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</si>
  <si>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</si>
  <si>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</si>
  <si>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</si>
  <si>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</si>
  <si>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</si>
  <si>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</si>
  <si>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</si>
  <si>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</si>
  <si>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</si>
  <si>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</si>
  <si>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</si>
  <si>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</si>
  <si>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</si>
  <si>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</si>
  <si>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</si>
  <si>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</si>
  <si>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</si>
  <si>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</si>
  <si>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</si>
  <si>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</si>
  <si>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</si>
  <si>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</si>
  <si>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</si>
  <si>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</si>
  <si>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</si>
  <si>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</si>
  <si>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</si>
  <si>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</si>
  <si>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</si>
  <si>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</si>
  <si>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</si>
  <si>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</si>
  <si>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</si>
  <si>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</si>
  <si>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</si>
  <si>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</si>
  <si>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</si>
  <si>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</si>
  <si>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</si>
  <si>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</si>
  <si>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</si>
  <si>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</si>
  <si>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</si>
  <si>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</si>
  <si>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</si>
  <si>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</si>
  <si>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</si>
  <si>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</si>
  <si>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</si>
  <si>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</si>
  <si>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</si>
  <si>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</si>
  <si>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</si>
  <si>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</si>
  <si>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</si>
  <si>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</si>
  <si>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</si>
  <si>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</si>
  <si>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</si>
  <si>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</si>
  <si>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</si>
  <si>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</si>
  <si>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</si>
  <si>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</si>
  <si>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</si>
  <si>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</si>
  <si>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</si>
  <si>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</si>
  <si>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</si>
  <si>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</si>
  <si>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</si>
  <si>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</si>
  <si>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</si>
  <si>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</si>
  <si>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</si>
  <si>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</si>
  <si>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</si>
  <si>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</si>
  <si>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</si>
  <si>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</si>
  <si>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</si>
  <si>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</si>
  <si>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</si>
  <si>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</si>
  <si>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</si>
  <si>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</si>
  <si>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</si>
  <si>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</si>
  <si>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</si>
  <si>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</si>
  <si>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</si>
  <si>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</si>
  <si>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</si>
  <si>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</si>
  <si>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</si>
  <si>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</si>
  <si>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</si>
  <si>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</si>
  <si>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</si>
  <si>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</si>
  <si>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</si>
  <si>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</si>
  <si>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</si>
  <si>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</si>
  <si>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</si>
  <si>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</si>
  <si>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</si>
  <si>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</si>
  <si>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</si>
  <si>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</si>
  <si>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</si>
  <si>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</si>
  <si>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</si>
  <si>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</si>
  <si>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</si>
  <si>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</si>
  <si>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</si>
  <si>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</si>
  <si>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</si>
  <si>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</si>
  <si>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</si>
  <si>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</si>
  <si>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</si>
  <si>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</si>
  <si>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</si>
  <si>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</si>
  <si>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</si>
  <si>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</si>
  <si>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</si>
  <si>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</si>
  <si>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</si>
  <si>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</si>
  <si>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</si>
  <si>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</si>
  <si>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</si>
  <si>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</si>
  <si>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</si>
  <si>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</si>
  <si>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</si>
  <si>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</si>
  <si>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</si>
  <si>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</si>
  <si>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</si>
  <si>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</si>
  <si>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</si>
  <si>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</si>
  <si>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</si>
  <si>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</si>
  <si>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</si>
  <si>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</si>
  <si>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</si>
  <si>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</si>
  <si>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</si>
  <si>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</si>
  <si>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</si>
  <si>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</si>
  <si>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</si>
  <si>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</si>
  <si>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</si>
  <si>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</si>
  <si>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</si>
  <si>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</si>
  <si>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</si>
  <si>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</si>
  <si>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</si>
  <si>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</si>
  <si>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</si>
  <si>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</si>
  <si>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</si>
  <si>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</si>
  <si>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</si>
  <si>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</si>
  <si>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</si>
  <si>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</si>
  <si>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</si>
  <si>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</si>
  <si>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</si>
  <si>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</si>
  <si>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</si>
  <si>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</si>
  <si>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</si>
  <si>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</si>
  <si>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</si>
  <si>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</si>
  <si>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</si>
  <si>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</si>
  <si>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</si>
  <si>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</si>
  <si>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</si>
  <si>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</si>
  <si>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</si>
  <si>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</si>
  <si>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</si>
  <si>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</si>
  <si>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</si>
  <si>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</si>
  <si>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</si>
  <si>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</si>
  <si>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</si>
  <si>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</si>
  <si>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</si>
  <si>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</si>
  <si>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</si>
  <si>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</si>
  <si>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</si>
  <si>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</si>
  <si>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</si>
  <si>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</si>
  <si>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</si>
  <si>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</si>
  <si>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</si>
  <si>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</si>
  <si>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</si>
  <si>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</si>
  <si>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</si>
  <si>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</si>
  <si>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</si>
  <si>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</si>
  <si>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</si>
  <si>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</si>
  <si>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</si>
  <si>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</si>
  <si>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</si>
  <si>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</si>
  <si>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</si>
  <si>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</si>
  <si>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</si>
  <si>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</si>
  <si>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</si>
  <si>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</si>
  <si>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</si>
  <si>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</si>
  <si>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</si>
  <si>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</si>
  <si>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</si>
  <si>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</si>
  <si>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</si>
  <si>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</si>
  <si>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</si>
  <si>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</si>
  <si>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</si>
  <si>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</si>
  <si>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</si>
  <si>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</si>
  <si>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</si>
  <si>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</si>
  <si>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</si>
  <si>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</si>
  <si>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</si>
  <si>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</si>
  <si>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</si>
  <si>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</si>
  <si>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</si>
  <si>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</si>
  <si>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</si>
  <si>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</si>
  <si>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</si>
  <si>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</si>
  <si>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</si>
  <si>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</si>
  <si>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</si>
  <si>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</si>
  <si>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</si>
  <si>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</si>
  <si>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</si>
  <si>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</si>
  <si>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</si>
  <si>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</si>
  <si>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</si>
  <si>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</si>
  <si>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</si>
  <si>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</si>
  <si>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</si>
  <si>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</si>
  <si>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</si>
  <si>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</si>
  <si>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</si>
  <si>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</si>
  <si>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</si>
  <si>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</si>
  <si>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</si>
  <si>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</si>
  <si>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</si>
  <si>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</si>
  <si>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</si>
  <si>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</si>
  <si>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</si>
  <si>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</si>
  <si>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</si>
  <si>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</si>
  <si>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</si>
  <si>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</si>
  <si>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</si>
  <si>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</si>
  <si>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</si>
  <si>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</si>
  <si>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</si>
  <si>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</si>
  <si>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</si>
  <si>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</si>
  <si>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</si>
  <si>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</si>
  <si>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</si>
  <si>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</si>
  <si>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</si>
  <si>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</si>
  <si>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</si>
  <si>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</si>
  <si>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</si>
  <si>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</si>
  <si>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</si>
  <si>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</si>
  <si>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</si>
  <si>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</si>
  <si>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</si>
  <si>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</si>
  <si>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</si>
  <si>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</si>
  <si>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</si>
  <si>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</si>
  <si>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</si>
  <si>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</si>
  <si>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</si>
  <si>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</si>
  <si>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</si>
  <si>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</si>
  <si>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</si>
  <si>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</si>
  <si>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</si>
  <si>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</si>
  <si>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</si>
  <si>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</si>
  <si>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</si>
  <si>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</si>
  <si>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</si>
  <si>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</si>
  <si>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</si>
  <si>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</si>
  <si>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</si>
  <si>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</si>
  <si>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</si>
  <si>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</si>
  <si>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</si>
  <si>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</si>
  <si>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</si>
  <si>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</si>
  <si>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</si>
  <si>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</si>
  <si>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</si>
  <si>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</si>
  <si>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</si>
  <si>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</si>
  <si>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</si>
  <si>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</si>
  <si>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</si>
  <si>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</si>
  <si>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</si>
  <si>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</si>
  <si>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</si>
  <si>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</si>
  <si>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</si>
  <si>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</si>
  <si>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</si>
  <si>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</si>
  <si>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</si>
  <si>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</si>
  <si>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</si>
  <si>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</si>
  <si>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</si>
  <si>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</si>
  <si>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</si>
  <si>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</si>
  <si>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</si>
  <si>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</si>
  <si>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</si>
  <si>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</si>
  <si>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</si>
  <si>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</si>
  <si>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</si>
  <si>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</si>
  <si>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</si>
  <si>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</si>
  <si>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</si>
  <si>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</si>
  <si>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</si>
  <si>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</si>
  <si>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</si>
  <si>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</si>
  <si>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</si>
  <si>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</si>
  <si>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</si>
  <si>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</si>
  <si>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</si>
  <si>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</si>
  <si>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</si>
  <si>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</si>
  <si>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</si>
  <si>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</si>
  <si>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</si>
  <si>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</si>
  <si>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</si>
  <si>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</si>
  <si>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</si>
  <si>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</si>
  <si>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</si>
  <si>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</si>
  <si>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</si>
  <si>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</si>
  <si>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</si>
  <si>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</si>
  <si>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</si>
  <si>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</si>
  <si>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</si>
  <si>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</si>
  <si>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</si>
  <si>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</si>
  <si>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</si>
  <si>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</si>
  <si>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</si>
  <si>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</si>
  <si>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</si>
  <si>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</si>
  <si>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</si>
  <si>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</si>
  <si>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</si>
  <si>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</si>
  <si>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</si>
  <si>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</si>
  <si>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</si>
  <si>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</si>
  <si>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</si>
  <si>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</si>
  <si>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</si>
  <si>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</si>
  <si>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</si>
  <si>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</si>
  <si>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</si>
  <si>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</si>
  <si>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</si>
  <si>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</si>
  <si>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</si>
  <si>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</si>
  <si>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</si>
  <si>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</si>
  <si>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</si>
  <si>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</si>
  <si>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</si>
  <si>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</si>
  <si>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</si>
  <si>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</si>
  <si>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</si>
  <si>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</si>
  <si>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</si>
  <si>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</si>
  <si>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</si>
  <si>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</si>
  <si>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</si>
  <si>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</si>
  <si>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</si>
  <si>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</si>
  <si>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</si>
  <si>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</si>
  <si>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</si>
  <si>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</si>
  <si>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</si>
  <si>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</si>
  <si>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</si>
  <si>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</si>
  <si>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</si>
  <si>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</si>
  <si>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</si>
  <si>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</si>
  <si>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</si>
  <si>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</si>
  <si>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</si>
  <si>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</si>
  <si>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</si>
  <si>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</si>
  <si>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</si>
  <si>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</si>
  <si>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</si>
  <si>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</si>
  <si>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</si>
  <si>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</si>
  <si>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</si>
  <si>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</si>
  <si>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</si>
  <si>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</si>
  <si>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</si>
  <si>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</si>
  <si>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</si>
  <si>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</si>
  <si>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</si>
  <si>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</si>
  <si>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</si>
  <si>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</si>
  <si>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</si>
  <si>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</si>
  <si>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</si>
  <si>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</si>
  <si>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</si>
  <si>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</si>
  <si>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</si>
  <si>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</si>
  <si>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</si>
  <si>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</si>
  <si>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</si>
  <si>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</si>
  <si>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</si>
  <si>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</si>
  <si>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</si>
  <si>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</si>
  <si>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</si>
  <si>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</si>
  <si>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</si>
  <si>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</si>
  <si>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</si>
  <si>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</si>
  <si>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</si>
  <si>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</si>
  <si>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</si>
  <si>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</si>
  <si>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</si>
  <si>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</si>
  <si>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</si>
  <si>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</si>
  <si>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</si>
  <si>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</si>
  <si>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</si>
  <si>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</si>
  <si>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</si>
  <si>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</si>
  <si>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</si>
  <si>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</si>
  <si>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</si>
  <si>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</si>
  <si>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</si>
  <si>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</si>
  <si>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</si>
  <si>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</si>
  <si>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</si>
  <si>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</si>
  <si>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</si>
  <si>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</si>
  <si>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</si>
  <si>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</si>
  <si>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</si>
  <si>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</si>
  <si>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</si>
  <si>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</si>
  <si>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</si>
  <si>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</si>
  <si>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</si>
  <si>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</si>
  <si>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</si>
  <si>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</si>
  <si>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</si>
  <si>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</si>
  <si>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</si>
  <si>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</si>
  <si>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</si>
  <si>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</si>
  <si>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</si>
  <si>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</si>
  <si>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</si>
  <si>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</si>
  <si>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</si>
  <si>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</si>
  <si>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</si>
  <si>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</si>
  <si>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</si>
  <si>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</si>
  <si>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</si>
  <si>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</si>
  <si>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</si>
  <si>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</si>
  <si>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</si>
  <si>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</si>
  <si>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</si>
  <si>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</si>
  <si>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</si>
  <si>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</si>
  <si>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</si>
  <si>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</si>
  <si>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</si>
  <si>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</si>
  <si>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</si>
  <si>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</si>
  <si>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</si>
  <si>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</si>
  <si>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</si>
  <si>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</si>
  <si>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</si>
  <si>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</si>
  <si>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</si>
  <si>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</si>
  <si>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</si>
  <si>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</si>
  <si>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</si>
  <si>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</si>
  <si>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</si>
  <si>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</si>
  <si>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</si>
  <si>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</si>
  <si>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</si>
  <si>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</si>
  <si>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</si>
  <si>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</si>
  <si>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</si>
  <si>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</si>
  <si>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</si>
  <si>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</si>
  <si>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</si>
  <si>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</si>
  <si>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</si>
  <si>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</si>
  <si>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</si>
  <si>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</si>
  <si>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</si>
  <si>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</si>
  <si>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</si>
  <si>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</si>
  <si>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</si>
  <si>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</si>
  <si>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</si>
  <si>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</si>
  <si>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</si>
  <si>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</si>
  <si>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</si>
  <si>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</si>
  <si>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</si>
  <si>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</si>
  <si>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</si>
  <si>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</si>
  <si>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</si>
  <si>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</si>
  <si>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</si>
  <si>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</si>
  <si>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</si>
  <si>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</si>
  <si>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</si>
  <si>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</si>
  <si>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</si>
  <si>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</si>
  <si>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</si>
  <si>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</si>
  <si>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</si>
  <si>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</si>
  <si>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</si>
  <si>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</si>
  <si>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</si>
  <si>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</si>
  <si>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</si>
  <si>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</si>
  <si>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</si>
  <si>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</si>
  <si>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</si>
  <si>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</si>
  <si>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</si>
  <si>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</si>
  <si>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</si>
  <si>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</si>
  <si>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</si>
  <si>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</si>
  <si>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</si>
  <si>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</si>
  <si>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</si>
  <si>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</si>
  <si>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</si>
  <si>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</si>
  <si>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</si>
  <si>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</si>
  <si>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</si>
  <si>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</si>
  <si>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</si>
  <si>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</si>
  <si>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</si>
  <si>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</si>
  <si>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</si>
  <si>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</si>
  <si>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</si>
  <si>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</si>
  <si>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</si>
  <si>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</si>
  <si>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</si>
  <si>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</si>
  <si>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</si>
  <si>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</si>
  <si>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</si>
  <si>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</si>
  <si>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</si>
  <si>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</si>
  <si>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</si>
  <si>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</si>
  <si>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</si>
  <si>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</si>
  <si>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</si>
  <si>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</si>
  <si>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</si>
  <si>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</si>
  <si>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</si>
  <si>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</si>
  <si>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</si>
  <si>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</si>
  <si>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</si>
  <si>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</si>
  <si>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</si>
  <si>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</si>
  <si>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</si>
  <si>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</si>
  <si>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</si>
  <si>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</si>
  <si>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</si>
  <si>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</si>
  <si>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</si>
  <si>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</si>
  <si>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</si>
  <si>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</si>
  <si>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</si>
  <si>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</si>
  <si>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</si>
  <si>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</si>
  <si>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</si>
  <si>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</si>
  <si>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</si>
  <si>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</si>
  <si>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</si>
  <si>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</si>
  <si>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</si>
  <si>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</si>
  <si>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</si>
  <si>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</si>
  <si>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</si>
  <si>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</si>
  <si>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</si>
  <si>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</si>
  <si>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</si>
  <si>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</si>
  <si>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</si>
  <si>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</si>
  <si>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</si>
  <si>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</si>
  <si>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</si>
  <si>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</si>
  <si>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</si>
  <si>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</si>
  <si>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</si>
  <si>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</si>
  <si>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</si>
  <si>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</si>
  <si>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</si>
  <si>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</si>
  <si>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</si>
  <si>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</si>
  <si>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</si>
  <si>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</si>
  <si>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</si>
  <si>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</si>
  <si>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</si>
  <si>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</si>
  <si>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</si>
  <si>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</si>
  <si>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</si>
  <si>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</si>
  <si>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</si>
  <si>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</si>
  <si>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</si>
  <si>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</si>
  <si>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</si>
  <si>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</si>
  <si>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</si>
  <si>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</si>
  <si>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</si>
  <si>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</si>
  <si>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</si>
  <si>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</si>
  <si>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</si>
  <si>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</si>
  <si>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</si>
  <si>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</si>
  <si>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</si>
  <si>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</si>
  <si>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</si>
  <si>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</si>
  <si>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</si>
  <si>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</si>
  <si>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</si>
  <si>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</si>
  <si>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</si>
  <si>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</si>
  <si>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</si>
  <si>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</si>
  <si>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</si>
  <si>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</si>
  <si>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</si>
  <si>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</si>
  <si>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</si>
  <si>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</si>
  <si>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</si>
  <si>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</si>
  <si>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</si>
  <si>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</si>
  <si>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</si>
  <si>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</si>
  <si>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</si>
  <si>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</si>
  <si>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</si>
  <si>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</si>
  <si>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</si>
  <si>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</si>
  <si>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</si>
  <si>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</si>
  <si>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</si>
  <si>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</si>
  <si>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</si>
  <si>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</si>
  <si>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</si>
  <si>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</si>
  <si>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</si>
  <si>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</si>
  <si>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</si>
  <si>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</si>
  <si>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</si>
  <si>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</si>
  <si>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</si>
  <si>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</si>
  <si>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</si>
  <si>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</si>
  <si>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</si>
  <si>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</si>
  <si>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</si>
  <si>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</si>
  <si>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</si>
  <si>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</si>
  <si>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</si>
  <si>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</si>
  <si>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</si>
  <si>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</si>
  <si>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</si>
  <si>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</si>
  <si>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</si>
  <si>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</si>
  <si>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</si>
  <si>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</si>
  <si>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</si>
  <si>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</si>
  <si>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</si>
  <si>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</si>
  <si>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</si>
  <si>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</si>
  <si>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</si>
  <si>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</si>
  <si>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</si>
  <si>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</si>
  <si>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</si>
  <si>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</si>
  <si>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</si>
  <si>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</si>
  <si>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</si>
  <si>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</si>
  <si>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</si>
  <si>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</si>
  <si>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</si>
  <si>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</si>
  <si>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</si>
  <si>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</si>
  <si>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</si>
  <si>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</si>
  <si>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</si>
  <si>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</si>
  <si>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</si>
  <si>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</si>
  <si>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</si>
  <si>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</si>
  <si>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</si>
  <si>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</si>
  <si>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</si>
  <si>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</si>
  <si>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</si>
  <si>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</si>
  <si>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</si>
  <si>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</si>
  <si>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</si>
  <si>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</si>
  <si>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</si>
  <si>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</si>
  <si>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</si>
  <si>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</si>
  <si>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</si>
  <si>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</si>
  <si>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</si>
  <si>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</si>
  <si>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</si>
  <si>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</si>
  <si>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</si>
  <si>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</si>
  <si>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</si>
  <si>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</si>
  <si>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</si>
  <si>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</si>
  <si>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</si>
  <si>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</si>
  <si>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</si>
  <si>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</si>
  <si>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</si>
  <si>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</si>
  <si>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</si>
  <si>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</si>
  <si>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</si>
  <si>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</si>
  <si>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</si>
  <si>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</si>
  <si>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</si>
  <si>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</si>
  <si>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</si>
  <si>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</si>
  <si>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</si>
  <si>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</si>
  <si>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</si>
  <si>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</si>
  <si>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</si>
  <si>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</si>
  <si>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</si>
  <si>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</si>
  <si>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</si>
  <si>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</si>
  <si>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</si>
  <si>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</si>
  <si>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</si>
  <si>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</si>
  <si>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</si>
  <si>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</si>
  <si>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</si>
  <si>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</si>
  <si>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</si>
  <si>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</si>
  <si>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</si>
  <si>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</si>
  <si>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</si>
  <si>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</si>
  <si>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</si>
  <si>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</si>
  <si>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</si>
  <si>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</si>
  <si>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</si>
  <si>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</si>
  <si>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</si>
  <si>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</si>
  <si>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</si>
  <si>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</si>
  <si>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</si>
  <si>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</si>
  <si>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</si>
  <si>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</si>
  <si>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</si>
  <si>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</si>
  <si>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</si>
  <si>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</si>
  <si>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</si>
  <si>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</si>
  <si>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</si>
  <si>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</si>
  <si>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</si>
  <si>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</si>
  <si>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</si>
  <si>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</si>
  <si>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</si>
  <si>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</si>
  <si>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</si>
  <si>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</si>
  <si>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</si>
  <si>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</si>
  <si>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</si>
  <si>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</si>
  <si>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</si>
  <si>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</si>
  <si>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</si>
  <si>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</si>
  <si>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</si>
  <si>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</si>
  <si>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</si>
  <si>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</si>
  <si>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</si>
  <si>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</si>
  <si>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</si>
  <si>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</si>
  <si>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</si>
  <si>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</si>
  <si>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</si>
  <si>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</si>
  <si>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</si>
  <si>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</si>
  <si>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</si>
  <si>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</si>
  <si>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</si>
  <si>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</si>
  <si>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</si>
  <si>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</si>
  <si>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</si>
  <si>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</si>
  <si>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</si>
  <si>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</si>
  <si>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</si>
  <si>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</si>
  <si>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</si>
  <si>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</si>
  <si>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</si>
  <si>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</si>
  <si>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</si>
  <si>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</si>
  <si>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</si>
  <si>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</si>
  <si>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</si>
  <si>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</si>
  <si>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</si>
  <si>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</si>
  <si>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</si>
  <si>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</si>
  <si>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</si>
  <si>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</si>
  <si>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</si>
  <si>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</si>
  <si>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</si>
  <si>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</si>
  <si>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</si>
  <si>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</si>
  <si>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</si>
  <si>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</si>
  <si>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</si>
  <si>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</si>
  <si>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</si>
  <si>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</si>
  <si>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</si>
  <si>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</si>
  <si>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</si>
  <si>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</si>
  <si>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</si>
  <si>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</si>
  <si>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</si>
  <si>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</si>
  <si>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</si>
  <si>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</si>
  <si>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</si>
  <si>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</si>
  <si>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</si>
  <si>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</si>
  <si>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</si>
  <si>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</si>
  <si>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</si>
  <si>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</si>
  <si>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</si>
  <si>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</si>
  <si>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</si>
  <si>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</si>
  <si>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</si>
  <si>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</si>
  <si>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</si>
  <si>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</si>
  <si>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</si>
  <si>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</si>
  <si>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</si>
  <si>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</si>
  <si>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</si>
  <si>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</si>
  <si>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</si>
  <si>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</si>
  <si>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</si>
  <si>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</si>
  <si>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</si>
  <si>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</si>
  <si>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</si>
  <si>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</si>
  <si>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</si>
  <si>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</si>
  <si>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</si>
  <si>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</si>
  <si>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</si>
  <si>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</si>
  <si>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</si>
  <si>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</si>
  <si>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</si>
  <si>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</si>
  <si>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</si>
  <si>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</si>
  <si>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</si>
  <si>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</si>
  <si>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</si>
  <si>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</si>
  <si>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</si>
  <si>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</si>
  <si>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</si>
  <si>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</si>
  <si>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</si>
  <si>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</si>
  <si>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</si>
  <si>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</si>
  <si>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</si>
  <si>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</si>
  <si>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</si>
  <si>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</si>
  <si>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</si>
  <si>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</si>
  <si>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</si>
  <si>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</si>
  <si>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</si>
  <si>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</si>
  <si>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</si>
  <si>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</si>
  <si>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</si>
  <si>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</si>
  <si>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</si>
  <si>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</si>
  <si>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</si>
  <si>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</si>
  <si>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</si>
  <si>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</si>
  <si>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</si>
  <si>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</si>
  <si>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</si>
  <si>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</si>
  <si>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</si>
  <si>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</si>
  <si>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</si>
  <si>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</si>
  <si>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</si>
  <si>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</si>
  <si>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</si>
  <si>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</si>
  <si>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</si>
  <si>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</si>
  <si>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</si>
  <si>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</si>
  <si>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</si>
  <si>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</si>
  <si>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</si>
  <si>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</si>
  <si>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</si>
  <si>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</si>
  <si>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</si>
  <si>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</si>
  <si>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</si>
  <si>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</si>
  <si>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</si>
  <si>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</si>
  <si>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</si>
  <si>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</si>
  <si>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</si>
  <si>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</si>
  <si>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</si>
  <si>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</si>
  <si>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</si>
  <si>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</si>
  <si>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</si>
  <si>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</si>
  <si>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</si>
  <si>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</si>
  <si>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</si>
  <si>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</si>
  <si>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</si>
  <si>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</si>
  <si>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</si>
  <si>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</si>
  <si>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</si>
  <si>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</si>
  <si>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</si>
  <si>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</si>
  <si>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</si>
  <si>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</si>
  <si>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</si>
  <si>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</si>
  <si>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</si>
  <si>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</si>
  <si>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</si>
  <si>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</si>
  <si>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</si>
  <si>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</si>
  <si>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</si>
  <si>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</si>
  <si>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</si>
  <si>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</si>
  <si>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</si>
  <si>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</si>
  <si>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</si>
  <si>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</si>
  <si>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</si>
  <si>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</si>
  <si>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</si>
  <si>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</si>
  <si>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</si>
  <si>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</si>
  <si>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</si>
  <si>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</si>
  <si>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</si>
  <si>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</si>
  <si>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</si>
  <si>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</si>
  <si>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</si>
  <si>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</si>
  <si>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</si>
  <si>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</si>
  <si>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</si>
  <si>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</si>
  <si>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</si>
  <si>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</si>
  <si>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</si>
  <si>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</si>
  <si>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</si>
  <si>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</si>
  <si>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</si>
  <si>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</si>
  <si>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</si>
  <si>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</si>
  <si>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</si>
  <si>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</si>
  <si>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</si>
  <si>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</si>
  <si>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</si>
  <si>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</si>
  <si>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</si>
  <si>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</si>
  <si>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</si>
  <si>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</si>
  <si>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</si>
  <si>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</si>
  <si>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</si>
  <si>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</si>
  <si>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</si>
  <si>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</si>
  <si>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</si>
  <si>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</si>
  <si>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</si>
  <si>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</si>
  <si>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</si>
  <si>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</si>
  <si>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</si>
  <si>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</si>
  <si>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</si>
  <si>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</si>
  <si>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</si>
  <si>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</si>
  <si>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</si>
  <si>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</si>
  <si>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</si>
  <si>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</si>
  <si>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</si>
  <si>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</si>
  <si>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</si>
  <si>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</si>
  <si>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</si>
  <si>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</si>
  <si>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</si>
  <si>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</si>
  <si>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</si>
  <si>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</si>
  <si>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</si>
  <si>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</si>
  <si>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</si>
  <si>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</si>
  <si>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</si>
  <si>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</si>
  <si>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</si>
  <si>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</si>
  <si>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</si>
  <si>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</si>
  <si>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</si>
  <si>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</si>
  <si>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</si>
  <si>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</si>
  <si>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</si>
  <si>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</si>
  <si>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</si>
  <si>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</si>
  <si>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</si>
  <si>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</si>
  <si>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</si>
  <si>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</si>
  <si>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</si>
  <si>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</si>
  <si>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</si>
  <si>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</si>
  <si>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</si>
  <si>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</si>
  <si>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</si>
  <si>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</si>
  <si>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</si>
  <si>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</si>
  <si>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</si>
  <si>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</si>
  <si>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</si>
  <si>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</si>
  <si>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</si>
  <si>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</si>
  <si>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</si>
  <si>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</si>
  <si>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</si>
  <si>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</si>
  <si>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</si>
  <si>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</si>
  <si>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</si>
  <si>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</si>
  <si>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</si>
  <si>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</si>
  <si>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</si>
  <si>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</si>
  <si>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</si>
  <si>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</si>
  <si>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</si>
  <si>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</si>
  <si>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</si>
  <si>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</si>
  <si>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</si>
  <si>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</si>
  <si>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</si>
  <si>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</si>
  <si>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</si>
  <si>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</si>
  <si>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</si>
  <si>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</si>
  <si>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</si>
  <si>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</si>
  <si>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</si>
  <si>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</si>
  <si>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</si>
  <si>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</si>
  <si>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</si>
  <si>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</si>
  <si>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</si>
  <si>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</si>
  <si>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</si>
  <si>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</si>
  <si>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</si>
  <si>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</si>
  <si>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</si>
  <si>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</si>
  <si>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</si>
  <si>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</si>
  <si>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</si>
  <si>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</si>
  <si>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</si>
  <si>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</si>
  <si>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</si>
  <si>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</si>
  <si>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</si>
  <si>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</si>
  <si>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</si>
  <si>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</si>
  <si>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</si>
  <si>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</si>
  <si>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</si>
  <si>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</si>
  <si>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</si>
  <si>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</si>
  <si>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</si>
  <si>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</si>
  <si>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</si>
  <si>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</si>
  <si>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</si>
  <si>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</si>
  <si>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</si>
  <si>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</si>
  <si>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</si>
  <si>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</si>
  <si>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</si>
  <si>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</si>
  <si>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</si>
  <si>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</si>
  <si>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</si>
  <si>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</si>
  <si>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</si>
  <si>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</si>
  <si>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</si>
  <si>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</si>
  <si>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</si>
  <si>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</si>
  <si>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</si>
  <si>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</si>
  <si>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</si>
  <si>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</si>
  <si>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</si>
  <si>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</si>
  <si>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</si>
  <si>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</si>
  <si>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</si>
  <si>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</si>
  <si>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</si>
  <si>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</si>
  <si>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</si>
  <si>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</si>
  <si>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</si>
  <si>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</si>
  <si>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</si>
  <si>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</si>
  <si>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</si>
  <si>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</si>
  <si>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</si>
  <si>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</si>
  <si>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</si>
  <si>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</si>
  <si>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</si>
  <si>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</si>
  <si>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</si>
  <si>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</si>
  <si>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</si>
  <si>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</si>
  <si>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</si>
  <si>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</si>
  <si>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</si>
  <si>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</si>
  <si>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</si>
  <si>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</si>
  <si>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</si>
  <si>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</si>
  <si>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</si>
  <si>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</si>
  <si>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</si>
  <si>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</si>
  <si>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</si>
  <si>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</si>
  <si>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</si>
  <si>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</si>
  <si>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</si>
  <si>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</si>
  <si>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</si>
  <si>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</si>
  <si>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</si>
  <si>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</si>
  <si>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</si>
  <si>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</si>
  <si>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</si>
  <si>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</si>
  <si>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</si>
  <si>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</si>
  <si>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</si>
  <si>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</si>
  <si>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</si>
  <si>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</si>
  <si>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</si>
  <si>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</si>
  <si>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</si>
  <si>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</si>
  <si>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</si>
  <si>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</si>
  <si>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</si>
  <si>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</si>
  <si>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</si>
  <si>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</si>
  <si>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</si>
  <si>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</si>
  <si>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</si>
  <si>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</si>
  <si>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</si>
  <si>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</si>
  <si>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</si>
  <si>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</si>
  <si>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</si>
  <si>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</si>
  <si>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</si>
  <si>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</si>
  <si>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</si>
  <si>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</si>
  <si>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</si>
  <si>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</si>
  <si>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</si>
  <si>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</si>
  <si>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</si>
  <si>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</si>
  <si>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</si>
  <si>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</si>
  <si>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</si>
  <si>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</si>
  <si>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</si>
  <si>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</si>
  <si>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</si>
  <si>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</si>
  <si>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</si>
  <si>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</si>
  <si>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</si>
  <si>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</si>
  <si>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</si>
  <si>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</si>
  <si>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</si>
  <si>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</si>
  <si>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</si>
  <si>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</si>
  <si>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</si>
  <si>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</si>
  <si>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</si>
  <si>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</si>
  <si>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</si>
  <si>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</si>
  <si>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</si>
  <si>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</si>
  <si>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</si>
  <si>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</si>
  <si>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</si>
  <si>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</si>
  <si>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</si>
  <si>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</si>
  <si>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</si>
  <si>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</si>
  <si>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</si>
  <si>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</si>
  <si>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</si>
  <si>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</si>
  <si>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</si>
  <si>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</si>
  <si>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</si>
  <si>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</si>
  <si>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</si>
  <si>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</si>
  <si>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</si>
  <si>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</si>
  <si>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</si>
  <si>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</si>
  <si>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</si>
  <si>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</si>
  <si>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</si>
  <si>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</si>
  <si>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</si>
  <si>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</si>
  <si>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</si>
  <si>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</si>
  <si>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</si>
  <si>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</si>
  <si>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</si>
  <si>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</si>
  <si>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</si>
  <si>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</si>
  <si>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</si>
  <si>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</si>
  <si>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</si>
  <si>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</si>
  <si>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</si>
  <si>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</si>
  <si>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</si>
  <si>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</si>
  <si>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</si>
  <si>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</si>
  <si>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</si>
  <si>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</si>
  <si>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</si>
  <si>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</si>
  <si>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</si>
  <si>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</si>
  <si>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</si>
  <si>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</si>
  <si>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</si>
  <si>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</si>
  <si>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</si>
  <si>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</si>
  <si>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</si>
  <si>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</si>
  <si>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</si>
  <si>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</si>
  <si>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</si>
  <si>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</si>
  <si>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</si>
  <si>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</si>
  <si>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</si>
  <si>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</si>
  <si>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</si>
  <si>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</si>
  <si>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</si>
  <si>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</si>
  <si>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</si>
  <si>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</si>
  <si>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</si>
  <si>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</si>
  <si>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</si>
  <si>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</si>
  <si>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</si>
  <si>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</si>
  <si>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</si>
  <si>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</si>
  <si>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</si>
  <si>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</si>
  <si>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</si>
  <si>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</si>
  <si>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</si>
  <si>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</si>
  <si>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</si>
  <si>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</si>
  <si>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</si>
  <si>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</si>
  <si>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</si>
  <si>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</si>
  <si>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</si>
  <si>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</si>
  <si>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</si>
  <si>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</si>
  <si>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</si>
  <si>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</si>
  <si>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</si>
  <si>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</si>
  <si>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</si>
  <si>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</si>
  <si>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</si>
  <si>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</si>
  <si>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</si>
  <si>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</si>
  <si>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</si>
  <si>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</si>
  <si>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</si>
  <si>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</si>
  <si>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</si>
  <si>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</si>
  <si>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</si>
  <si>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</si>
  <si>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</si>
  <si>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</si>
  <si>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</si>
  <si>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</si>
  <si>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</si>
  <si>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</si>
  <si>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</si>
  <si>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</si>
  <si>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</si>
  <si>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</si>
  <si>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</si>
  <si>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</si>
  <si>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</si>
  <si>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</si>
  <si>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</si>
  <si>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</si>
  <si>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</si>
  <si>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</si>
  <si>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</si>
  <si>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</si>
  <si>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</si>
  <si>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</si>
  <si>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</si>
  <si>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</si>
  <si>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</si>
  <si>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</si>
  <si>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</si>
  <si>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</si>
  <si>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</si>
  <si>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</si>
  <si>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</si>
  <si>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</si>
  <si>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</si>
  <si>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</si>
  <si>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</si>
  <si>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</si>
  <si>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</si>
  <si>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</si>
  <si>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</si>
  <si>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</si>
  <si>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</si>
  <si>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</si>
  <si>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</si>
  <si>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</si>
  <si>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</si>
  <si>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</si>
  <si>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</si>
  <si>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</si>
  <si>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</si>
  <si>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</si>
  <si>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</si>
  <si>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</si>
  <si>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</si>
  <si>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</si>
  <si>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</si>
  <si>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</si>
  <si>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</si>
  <si>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</si>
  <si>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</si>
  <si>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</si>
  <si>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</si>
  <si>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</si>
  <si>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</si>
  <si>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</si>
  <si>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</si>
  <si>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</si>
  <si>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</si>
  <si>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</si>
  <si>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</si>
  <si>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</si>
  <si>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</si>
  <si>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</si>
  <si>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</si>
  <si>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</si>
  <si>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</si>
  <si>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</si>
  <si>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</si>
  <si>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</si>
  <si>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</si>
  <si>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</si>
  <si>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</si>
  <si>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</si>
  <si>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</si>
  <si>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</si>
  <si>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</si>
  <si>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</si>
  <si>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</si>
  <si>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</si>
  <si>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</si>
  <si>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</si>
  <si>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</si>
  <si>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</si>
  <si>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</si>
  <si>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</si>
  <si>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</si>
  <si>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</si>
  <si>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</si>
  <si>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</si>
  <si>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</si>
  <si>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</si>
  <si>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</si>
  <si>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</si>
  <si>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</si>
  <si>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</si>
  <si>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</si>
  <si>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</si>
  <si>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</si>
  <si>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</si>
  <si>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</si>
  <si>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</si>
  <si>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</si>
  <si>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</si>
  <si>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</si>
  <si>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</si>
  <si>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</si>
  <si>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</si>
  <si>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</si>
  <si>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</si>
  <si>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</si>
  <si>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</si>
  <si>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</si>
  <si>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</si>
  <si>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</si>
  <si>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</si>
  <si>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</si>
  <si>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</si>
  <si>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</si>
  <si>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</si>
  <si>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</si>
  <si>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</si>
  <si>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</si>
  <si>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</si>
  <si>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</si>
  <si>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</si>
  <si>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</si>
  <si>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</si>
  <si>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</si>
  <si>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</si>
  <si>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</si>
  <si>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</si>
  <si>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</si>
  <si>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</si>
  <si>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</si>
  <si>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</si>
  <si>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</si>
  <si>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</si>
  <si>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</si>
  <si>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</si>
  <si>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</si>
  <si>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</si>
  <si>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</si>
  <si>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</si>
  <si>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</si>
  <si>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</si>
  <si>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</si>
  <si>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</si>
  <si>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</si>
  <si>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</si>
  <si>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</si>
  <si>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</si>
  <si>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</si>
  <si>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</si>
  <si>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</si>
  <si>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</si>
  <si>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</si>
  <si>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</si>
  <si>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</si>
  <si>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</si>
  <si>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</si>
  <si>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</si>
  <si>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</si>
  <si>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</si>
  <si>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</si>
  <si>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</si>
  <si>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</si>
  <si>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</si>
  <si>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</si>
  <si>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</si>
  <si>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</si>
  <si>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</si>
  <si>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</si>
  <si>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</si>
  <si>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</si>
  <si>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</si>
  <si>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</si>
  <si>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</si>
  <si>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</si>
  <si>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</si>
  <si>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</si>
  <si>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</si>
  <si>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</si>
  <si>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</si>
  <si>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</si>
  <si>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</si>
  <si>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</si>
  <si>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</si>
  <si>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</si>
  <si>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</si>
  <si>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</si>
  <si>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</si>
  <si>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</si>
  <si>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</si>
  <si>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</si>
  <si>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</si>
  <si>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</si>
  <si>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</si>
  <si>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</si>
  <si>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</si>
  <si>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</si>
  <si>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</si>
  <si>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</si>
  <si>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</si>
  <si>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</si>
  <si>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</si>
  <si>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</si>
  <si>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</si>
  <si>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</si>
  <si>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</si>
  <si>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</si>
  <si>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</si>
  <si>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</si>
  <si>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</si>
  <si>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</si>
  <si>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</si>
  <si>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</si>
  <si>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</si>
  <si>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</si>
  <si>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</si>
  <si>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</si>
  <si>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</si>
  <si>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</si>
  <si>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</si>
  <si>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</si>
  <si>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</si>
  <si>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</si>
  <si>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</si>
  <si>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</si>
  <si>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</si>
  <si>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</si>
  <si>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</si>
  <si>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</si>
  <si>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</si>
  <si>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</si>
  <si>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</si>
  <si>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</si>
  <si>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</si>
  <si>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</si>
  <si>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</si>
  <si>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</si>
  <si>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</si>
  <si>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</si>
  <si>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</si>
  <si>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</si>
  <si>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</si>
  <si>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</si>
  <si>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</si>
  <si>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</si>
  <si>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</si>
  <si>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</si>
  <si>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</si>
  <si>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</si>
  <si>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</si>
  <si>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</si>
  <si>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</si>
  <si>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</si>
  <si>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</si>
  <si>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</si>
  <si>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</si>
  <si>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</si>
  <si>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</si>
  <si>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</si>
  <si>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</si>
  <si>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</si>
  <si>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</si>
  <si>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</si>
  <si>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</si>
  <si>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</si>
  <si>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</si>
  <si>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</si>
  <si>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</si>
  <si>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</si>
  <si>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</si>
  <si>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</si>
  <si>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</si>
  <si>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</si>
  <si>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</si>
  <si>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</si>
  <si>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</si>
  <si>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</si>
  <si>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</si>
  <si>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</si>
  <si>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</si>
  <si>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</si>
  <si>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</si>
  <si>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</si>
  <si>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</si>
  <si>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</si>
  <si>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</si>
  <si>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</si>
  <si>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</si>
  <si>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</si>
  <si>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</si>
  <si>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</si>
  <si>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</si>
  <si>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</si>
  <si>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</si>
  <si>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</si>
  <si>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</si>
  <si>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</si>
  <si>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</si>
  <si>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</si>
  <si>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</si>
  <si>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</si>
  <si>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</si>
  <si>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</si>
  <si>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</si>
  <si>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</si>
  <si>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</si>
  <si>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</si>
  <si>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</si>
  <si>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</si>
  <si>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</si>
  <si>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</si>
  <si>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</si>
  <si>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</si>
  <si>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</si>
  <si>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</si>
  <si>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</si>
  <si>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</si>
  <si>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</si>
  <si>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</si>
  <si>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</si>
  <si>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</si>
  <si>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</si>
  <si>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</si>
  <si>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</si>
  <si>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</si>
  <si>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</si>
  <si>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</si>
  <si>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</si>
  <si>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</si>
  <si>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</si>
  <si>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</si>
  <si>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</si>
  <si>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</si>
  <si>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</si>
  <si>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</si>
  <si>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</si>
  <si>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</si>
  <si>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</si>
  <si>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</si>
  <si>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</si>
  <si>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</si>
  <si>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</si>
  <si>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</si>
  <si>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</si>
  <si>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</si>
  <si>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</si>
  <si>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</si>
  <si>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</si>
  <si>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</si>
  <si>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</si>
  <si>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</si>
  <si>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</si>
  <si>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</si>
  <si>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</si>
  <si>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</si>
  <si>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</si>
  <si>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</si>
  <si>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</si>
  <si>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</si>
  <si>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</si>
  <si>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</si>
  <si>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</si>
  <si>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</si>
  <si>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</si>
  <si>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</si>
  <si>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</si>
  <si>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</si>
  <si>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</si>
  <si>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</si>
  <si>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</si>
  <si>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</si>
  <si>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</si>
  <si>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</si>
  <si>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</si>
  <si>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</si>
  <si>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</si>
  <si>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</si>
  <si>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</si>
  <si>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</si>
  <si>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</si>
  <si>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</si>
  <si>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</si>
  <si>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</si>
  <si>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</si>
  <si>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</si>
  <si>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</si>
  <si>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</si>
  <si>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</si>
  <si>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</si>
  <si>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</si>
  <si>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</si>
  <si>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</si>
  <si>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</si>
  <si>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</si>
  <si>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</si>
  <si>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</si>
  <si>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</si>
  <si>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</si>
  <si>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</si>
  <si>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</si>
  <si>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</si>
  <si>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</si>
  <si>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</si>
  <si>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</si>
  <si>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</si>
  <si>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</si>
  <si>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</si>
  <si>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</si>
  <si>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</si>
  <si>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</si>
  <si>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</si>
  <si>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</si>
  <si>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</si>
  <si>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</si>
  <si>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</si>
  <si>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</si>
  <si>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</si>
  <si>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</si>
  <si>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</si>
  <si>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</si>
  <si>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</si>
  <si>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</si>
  <si>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</si>
  <si>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</si>
  <si>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</si>
  <si>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</si>
  <si>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</si>
  <si>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</si>
  <si>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</si>
  <si>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</si>
  <si>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</si>
  <si>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</si>
  <si>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</si>
  <si>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</si>
  <si>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</si>
  <si>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</si>
  <si>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</si>
  <si>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</si>
  <si>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</si>
  <si>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</si>
  <si>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</si>
  <si>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</si>
  <si>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</si>
  <si>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</si>
  <si>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</si>
  <si>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</si>
  <si>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</si>
  <si>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</si>
  <si>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</si>
  <si>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</si>
  <si>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</si>
  <si>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</si>
  <si>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</si>
  <si>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</si>
  <si>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</si>
  <si>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</si>
  <si>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</si>
  <si>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</si>
  <si>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</si>
  <si>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</si>
  <si>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</si>
  <si>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</si>
  <si>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</si>
  <si>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</si>
  <si>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</si>
  <si>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</si>
  <si>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</si>
  <si>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</si>
  <si>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</si>
  <si>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</si>
  <si>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</si>
  <si>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</si>
  <si>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</si>
  <si>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</si>
  <si>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</si>
  <si>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</si>
  <si>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</si>
  <si>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</si>
  <si>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</si>
  <si>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</si>
  <si>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</si>
  <si>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</si>
  <si>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</si>
  <si>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</si>
  <si>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</si>
  <si>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</si>
  <si>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</si>
  <si>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</si>
  <si>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</si>
  <si>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</si>
  <si>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</si>
  <si>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</si>
  <si>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</si>
  <si>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</si>
  <si>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</si>
  <si>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</si>
  <si>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</si>
  <si>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</si>
  <si>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</si>
  <si>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</si>
  <si>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</si>
  <si>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</si>
  <si>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</si>
  <si>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</si>
  <si>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</si>
  <si>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</si>
  <si>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</si>
  <si>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</si>
  <si>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</si>
  <si>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</si>
  <si>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</si>
  <si>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</si>
  <si>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</si>
  <si>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</si>
  <si>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</si>
  <si>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</si>
  <si>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</si>
  <si>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</si>
  <si>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</si>
  <si>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</si>
  <si>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</si>
  <si>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</si>
  <si>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</si>
  <si>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</si>
  <si>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</si>
  <si>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</si>
  <si>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</si>
  <si>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</si>
  <si>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</si>
  <si>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</si>
  <si>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</si>
  <si>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</si>
  <si>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</si>
  <si>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</si>
  <si>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</si>
  <si>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</si>
  <si>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</si>
  <si>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</si>
  <si>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</si>
  <si>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</si>
  <si>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</si>
  <si>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</si>
  <si>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</si>
  <si>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</si>
  <si>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</si>
  <si>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</si>
  <si>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</si>
  <si>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</si>
  <si>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</si>
  <si>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</si>
  <si>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</si>
  <si>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</si>
  <si>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</si>
  <si>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</si>
  <si>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</si>
  <si>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</si>
  <si>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</si>
  <si>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</si>
  <si>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</si>
  <si>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</si>
  <si>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</si>
  <si>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</si>
  <si>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</si>
  <si>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</si>
  <si>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</si>
  <si>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</si>
  <si>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</si>
  <si>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</si>
  <si>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</si>
  <si>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</si>
  <si>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</si>
  <si>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</si>
  <si>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</si>
  <si>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</si>
  <si>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</si>
  <si>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</si>
  <si>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</si>
  <si>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</si>
  <si>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</si>
  <si>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</si>
  <si>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</si>
  <si>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</si>
  <si>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</si>
  <si>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</si>
  <si>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</si>
  <si>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</si>
  <si>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</si>
  <si>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</si>
  <si>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</si>
  <si>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</si>
  <si>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</si>
  <si>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</si>
  <si>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</si>
  <si>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</si>
  <si>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</si>
  <si>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</si>
  <si>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</si>
  <si>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</si>
  <si>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</si>
  <si>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</si>
  <si>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</si>
  <si>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</si>
  <si>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</si>
  <si>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</si>
  <si>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</si>
  <si>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</si>
  <si>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</si>
  <si>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</si>
  <si>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</si>
  <si>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</si>
  <si>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</si>
  <si>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</si>
  <si>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</si>
  <si>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</si>
  <si>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</si>
  <si>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</si>
  <si>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</si>
  <si>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</si>
  <si>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</si>
  <si>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</si>
  <si>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</si>
  <si>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</si>
  <si>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</si>
  <si>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</si>
  <si>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</si>
  <si>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</si>
  <si>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</si>
  <si>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</si>
  <si>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</si>
  <si>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</si>
  <si>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</si>
  <si>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</si>
  <si>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</si>
  <si>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</si>
  <si>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</si>
  <si>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</si>
  <si>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</si>
  <si>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</si>
  <si>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</si>
  <si>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</si>
  <si>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</si>
  <si>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</si>
  <si>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</si>
  <si>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</si>
  <si>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</si>
  <si>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</si>
  <si>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</si>
  <si>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</si>
  <si>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</si>
  <si>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</si>
  <si>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</si>
  <si>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</si>
  <si>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</si>
  <si>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</si>
  <si>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</si>
  <si>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</si>
  <si>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</si>
  <si>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</si>
  <si>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</si>
  <si>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</si>
  <si>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</si>
  <si>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</si>
  <si>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</si>
  <si>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</si>
  <si>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</si>
  <si>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</si>
  <si>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</si>
  <si>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</si>
  <si>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</si>
  <si>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</si>
  <si>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</si>
  <si>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</si>
  <si>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</si>
  <si>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</si>
  <si>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</si>
  <si>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</si>
  <si>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</si>
  <si>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</si>
  <si>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</si>
  <si>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</si>
  <si>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</si>
  <si>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</si>
  <si>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</si>
  <si>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</si>
  <si>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</si>
  <si>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</si>
  <si>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</si>
  <si>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</si>
  <si>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</si>
  <si>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</si>
  <si>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</si>
  <si>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</si>
  <si>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</si>
  <si>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</si>
  <si>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</si>
  <si>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</si>
  <si>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</si>
  <si>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</si>
  <si>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</si>
  <si>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</si>
  <si>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</si>
  <si>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</si>
  <si>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</si>
  <si>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</si>
  <si>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</si>
  <si>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</si>
  <si>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</si>
  <si>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</si>
  <si>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</si>
  <si>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</si>
  <si>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</si>
  <si>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</si>
  <si>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</si>
  <si>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</si>
  <si>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</si>
  <si>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</si>
  <si>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</si>
  <si>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</si>
  <si>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</si>
  <si>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</si>
  <si>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</si>
  <si>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</si>
  <si>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</si>
  <si>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</si>
  <si>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</si>
  <si>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</si>
  <si>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</si>
  <si>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</si>
  <si>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</si>
  <si>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</si>
  <si>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</si>
  <si>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</si>
  <si>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</si>
  <si>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</si>
  <si>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</si>
  <si>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</si>
  <si>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</si>
  <si>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</si>
  <si>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</si>
  <si>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</si>
  <si>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</si>
  <si>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</si>
  <si>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</si>
  <si>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</si>
  <si>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</si>
  <si>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</si>
  <si>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</si>
  <si>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</si>
  <si>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</si>
  <si>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</si>
  <si>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</si>
  <si>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</si>
  <si>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</si>
  <si>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</si>
  <si>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</si>
  <si>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</si>
  <si>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</si>
  <si>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</si>
  <si>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</si>
  <si>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</si>
  <si>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</si>
  <si>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</si>
  <si>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</si>
  <si>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</si>
  <si>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</si>
  <si>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</si>
  <si>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</si>
  <si>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</si>
  <si>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</si>
  <si>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</si>
  <si>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</si>
  <si>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</si>
  <si>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</si>
  <si>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</si>
  <si>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</si>
  <si>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</si>
  <si>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</si>
  <si>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</si>
  <si>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</si>
  <si>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</si>
  <si>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</si>
  <si>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</si>
  <si>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</si>
  <si>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</si>
  <si>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</si>
  <si>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</si>
  <si>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</si>
  <si>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</si>
  <si>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</si>
  <si>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</si>
  <si>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</si>
  <si>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</si>
  <si>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</si>
  <si>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</si>
  <si>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</si>
  <si>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</si>
  <si>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</si>
  <si>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</si>
  <si>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</si>
  <si>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</si>
  <si>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</si>
  <si>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</si>
  <si>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</si>
  <si>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</si>
  <si>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</si>
  <si>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</si>
  <si>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</si>
  <si>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</si>
  <si>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</si>
  <si>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</si>
  <si>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</si>
  <si>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</si>
  <si>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</si>
  <si>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</si>
  <si>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</si>
  <si>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</si>
  <si>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</si>
  <si>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</si>
  <si>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</si>
  <si>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</si>
  <si>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</si>
  <si>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</si>
  <si>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</si>
  <si>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</si>
  <si>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</si>
  <si>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</si>
  <si>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</si>
  <si>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</si>
  <si>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</si>
  <si>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</si>
  <si>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</si>
  <si>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</si>
  <si>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</si>
  <si>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</si>
  <si>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</si>
  <si>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</si>
  <si>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</si>
  <si>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</si>
  <si>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</si>
  <si>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</si>
  <si>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</si>
  <si>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</si>
  <si>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</si>
  <si>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</si>
  <si>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</si>
  <si>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</si>
  <si>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</si>
  <si>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</si>
  <si>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</si>
  <si>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</si>
  <si>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</si>
  <si>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</si>
  <si>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</si>
  <si>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</si>
  <si>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</si>
  <si>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</si>
  <si>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</si>
  <si>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</si>
  <si>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</si>
  <si>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</si>
  <si>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</si>
  <si>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</si>
  <si>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</si>
  <si>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</si>
  <si>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</si>
  <si>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</si>
  <si>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</si>
  <si>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</si>
  <si>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</si>
  <si>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</si>
  <si>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</si>
  <si>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</si>
  <si>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</si>
  <si>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</si>
  <si>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</si>
  <si>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</si>
  <si>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</si>
  <si>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</si>
  <si>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</si>
  <si>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</si>
  <si>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</si>
  <si>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</si>
  <si>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</si>
  <si>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</si>
  <si>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</si>
  <si>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</si>
  <si>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</si>
  <si>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</si>
  <si>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</si>
  <si>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</si>
  <si>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</si>
  <si>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</si>
  <si>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</si>
  <si>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</si>
  <si>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</si>
  <si>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</si>
  <si>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</si>
  <si>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</si>
  <si>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</si>
  <si>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</si>
  <si>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</si>
  <si>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</si>
  <si>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</si>
  <si>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</si>
  <si>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</si>
  <si>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</si>
  <si>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</si>
  <si>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</si>
  <si>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</si>
  <si>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</si>
  <si>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</si>
  <si>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</si>
  <si>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</si>
  <si>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</si>
  <si>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</si>
  <si>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</si>
  <si>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</si>
  <si>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</si>
  <si>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</si>
  <si>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</si>
  <si>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</si>
  <si>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</si>
  <si>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</si>
  <si>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</si>
  <si>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</si>
  <si>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</si>
  <si>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</si>
  <si>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</si>
  <si>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</si>
  <si>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</si>
  <si>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</si>
  <si>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</si>
  <si>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</si>
  <si>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</si>
  <si>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</si>
  <si>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</si>
  <si>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</si>
  <si>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</si>
  <si>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</si>
  <si>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</si>
  <si>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</si>
  <si>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</si>
  <si>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</si>
  <si>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</si>
  <si>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</si>
  <si>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</si>
  <si>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</si>
  <si>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</si>
  <si>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</si>
  <si>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</si>
  <si>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</si>
  <si>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</si>
  <si>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</si>
  <si>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</si>
  <si>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</si>
  <si>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</si>
  <si>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</si>
  <si>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</si>
  <si>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</si>
  <si>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</si>
  <si>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</si>
  <si>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</si>
  <si>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</si>
  <si>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</si>
  <si>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</si>
  <si>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</si>
  <si>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</si>
  <si>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</si>
  <si>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</si>
  <si>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</si>
  <si>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</si>
  <si>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</si>
  <si>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</si>
  <si>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</si>
  <si>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</si>
  <si>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</si>
  <si>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</si>
  <si>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</si>
  <si>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</si>
  <si>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</si>
  <si>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</si>
  <si>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</si>
  <si>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</si>
  <si>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</si>
  <si>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</si>
  <si>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</si>
  <si>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</si>
  <si>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</si>
  <si>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</si>
  <si>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</si>
  <si>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</si>
  <si>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</si>
  <si>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</si>
  <si>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</si>
  <si>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</si>
  <si>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</si>
  <si>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</si>
  <si>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</si>
  <si>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</si>
  <si>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</si>
  <si>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</si>
  <si>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</si>
  <si>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</si>
  <si>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</si>
  <si>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</si>
  <si>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</si>
  <si>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</si>
  <si>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</si>
  <si>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</si>
  <si>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</si>
  <si>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</si>
  <si>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</si>
  <si>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</si>
  <si>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</si>
  <si>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</si>
  <si>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</si>
  <si>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</si>
  <si>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</si>
  <si>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</si>
  <si>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</si>
  <si>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</si>
  <si>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</si>
  <si>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</si>
  <si>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</si>
  <si>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</si>
  <si>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</si>
  <si>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</si>
  <si>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</si>
  <si>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</si>
  <si>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</si>
  <si>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</si>
  <si>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</si>
  <si>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</si>
  <si>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</si>
  <si>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</si>
  <si>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</si>
  <si>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</si>
  <si>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</si>
  <si>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</si>
  <si>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</si>
  <si>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</si>
  <si>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</si>
  <si>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</si>
  <si>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</si>
  <si>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</si>
  <si>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</si>
  <si>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</si>
  <si>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</si>
  <si>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</si>
  <si>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</si>
  <si>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</si>
  <si>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</si>
  <si>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</si>
  <si>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</si>
  <si>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</si>
  <si>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</si>
  <si>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</si>
  <si>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</si>
  <si>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</si>
  <si>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</si>
  <si>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</si>
  <si>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</si>
  <si>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</si>
  <si>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</si>
  <si>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</si>
  <si>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</si>
  <si>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</si>
  <si>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</si>
  <si>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</si>
  <si>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</si>
  <si>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</si>
  <si>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</si>
  <si>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</si>
  <si>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</si>
  <si>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</si>
  <si>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</si>
  <si>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</si>
  <si>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</si>
  <si>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</si>
  <si>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</si>
  <si>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</si>
  <si>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</si>
  <si>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</si>
  <si>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</si>
  <si>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</si>
  <si>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</si>
  <si>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</si>
  <si>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</si>
  <si>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</si>
  <si>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</si>
  <si>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</si>
  <si>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</si>
  <si>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</si>
  <si>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</si>
  <si>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</si>
  <si>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</si>
  <si>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</si>
  <si>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</si>
  <si>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</si>
  <si>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</si>
  <si>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</si>
  <si>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</si>
  <si>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</si>
  <si>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</si>
  <si>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</si>
  <si>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</si>
  <si>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</si>
  <si>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</si>
  <si>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</si>
  <si>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</si>
  <si>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</si>
  <si>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</si>
  <si>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</si>
  <si>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</si>
  <si>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</si>
  <si>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</si>
  <si>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</si>
  <si>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</si>
  <si>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</si>
  <si>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</si>
  <si>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</si>
  <si>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</si>
  <si>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</si>
  <si>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</si>
  <si>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</si>
  <si>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</si>
  <si>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</si>
  <si>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</si>
  <si>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</si>
  <si>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</si>
  <si>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</si>
  <si>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</si>
  <si>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</si>
  <si>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</si>
  <si>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</si>
  <si>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</si>
  <si>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</si>
  <si>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</si>
  <si>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</si>
  <si>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</si>
  <si>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</si>
  <si>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</si>
  <si>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</si>
  <si>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</si>
  <si>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</si>
  <si>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</si>
  <si>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</si>
  <si>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</si>
  <si>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</si>
  <si>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</si>
  <si>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</si>
  <si>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</si>
  <si>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</si>
  <si>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</si>
  <si>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</si>
  <si>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</si>
  <si>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</si>
  <si>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</si>
  <si>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</si>
  <si>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</si>
  <si>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</si>
  <si>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</si>
  <si>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</si>
  <si>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</si>
  <si>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</si>
  <si>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</si>
  <si>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</si>
  <si>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</si>
  <si>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</si>
  <si>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</si>
  <si>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</si>
  <si>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</si>
  <si>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</si>
  <si>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</si>
  <si>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</si>
  <si>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</si>
  <si>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</si>
  <si>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</si>
  <si>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</si>
  <si>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</si>
  <si>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</si>
  <si>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</si>
  <si>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</si>
  <si>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</si>
  <si>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</si>
  <si>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</si>
  <si>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</si>
  <si>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</si>
  <si>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</si>
  <si>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</si>
  <si>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</si>
  <si>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</si>
  <si>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</si>
  <si>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</si>
  <si>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</si>
  <si>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</si>
  <si>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</si>
  <si>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</si>
  <si>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</si>
  <si>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</si>
  <si>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</si>
  <si>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</si>
  <si>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</si>
  <si>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</si>
  <si>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</si>
  <si>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</si>
  <si>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</si>
  <si>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</si>
  <si>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</si>
  <si>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</si>
  <si>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</si>
  <si>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</si>
  <si>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</si>
  <si>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</si>
  <si>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</si>
  <si>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</si>
  <si>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</si>
  <si>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</si>
  <si>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</si>
  <si>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</si>
  <si>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</si>
  <si>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</si>
  <si>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</si>
  <si>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</si>
  <si>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</si>
  <si>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</si>
  <si>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</si>
  <si>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</si>
  <si>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</si>
  <si>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</si>
  <si>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</si>
  <si>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</si>
  <si>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</si>
  <si>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</si>
  <si>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</si>
  <si>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</si>
  <si>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</si>
  <si>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</si>
  <si>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</si>
  <si>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</si>
  <si>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</si>
  <si>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</si>
  <si>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</si>
  <si>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</si>
  <si>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</si>
  <si>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</si>
  <si>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</si>
  <si>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</si>
  <si>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</si>
  <si>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</si>
  <si>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</si>
  <si>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</si>
  <si>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</si>
  <si>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</si>
  <si>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</si>
  <si>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</si>
  <si>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</si>
  <si>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</si>
  <si>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</si>
  <si>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</si>
  <si>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</si>
  <si>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</si>
  <si>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</si>
  <si>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</si>
  <si>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</si>
  <si>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</si>
  <si>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</si>
  <si>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</si>
  <si>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</si>
  <si>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</si>
  <si>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</si>
  <si>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</si>
  <si>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</si>
  <si>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</si>
  <si>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</si>
  <si>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</si>
  <si>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</si>
  <si>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</si>
  <si>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</si>
  <si>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</si>
  <si>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</si>
  <si>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</si>
  <si>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</si>
  <si>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</si>
  <si>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</si>
  <si>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</si>
  <si>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</si>
  <si>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</si>
  <si>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</si>
  <si>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</si>
  <si>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</si>
  <si>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</si>
  <si>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</si>
  <si>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</si>
  <si>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</si>
  <si>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</si>
  <si>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</si>
  <si>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</si>
  <si>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</si>
  <si>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</si>
  <si>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</si>
  <si>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</si>
  <si>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</si>
  <si>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</si>
  <si>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</si>
  <si>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</si>
  <si>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</si>
  <si>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</si>
  <si>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</si>
  <si>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</si>
  <si>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</si>
  <si>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</si>
  <si>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</si>
  <si>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</si>
  <si>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</si>
  <si>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</si>
  <si>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</si>
  <si>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</si>
  <si>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</si>
  <si>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</si>
  <si>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</si>
  <si>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</si>
  <si>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</si>
  <si>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</si>
  <si>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</si>
  <si>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</si>
  <si>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</si>
  <si>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</si>
  <si>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</si>
  <si>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</si>
  <si>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</si>
  <si>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</si>
  <si>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</si>
  <si>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</si>
  <si>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</si>
  <si>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</si>
  <si>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</si>
  <si>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</si>
  <si>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</si>
  <si>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</si>
  <si>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</si>
  <si>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</si>
  <si>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</si>
  <si>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</si>
  <si>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</si>
  <si>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</si>
  <si>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</si>
  <si>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</si>
  <si>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</si>
  <si>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</si>
  <si>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</si>
  <si>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</si>
  <si>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</si>
  <si>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</si>
  <si>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</si>
  <si>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</si>
  <si>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</si>
  <si>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</si>
  <si>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</si>
  <si>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</si>
  <si>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</si>
  <si>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</si>
  <si>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</si>
  <si>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</si>
  <si>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</si>
  <si>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</si>
  <si>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</si>
  <si>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</si>
  <si>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</si>
  <si>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</si>
  <si>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</si>
  <si>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</si>
  <si>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</si>
  <si>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</si>
  <si>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</si>
  <si>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</si>
  <si>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</si>
  <si>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</si>
  <si>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</si>
  <si>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</si>
  <si>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</si>
  <si>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</si>
  <si>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</si>
  <si>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</si>
  <si>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</si>
  <si>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</si>
  <si>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</si>
  <si>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</si>
  <si>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</si>
  <si>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</si>
  <si>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</si>
  <si>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</si>
  <si>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</si>
  <si>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</si>
  <si>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</si>
  <si>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</si>
  <si>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</si>
  <si>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</si>
  <si>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</si>
  <si>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</si>
  <si>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</si>
  <si>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</si>
  <si>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</si>
  <si>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</si>
  <si>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</si>
  <si>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</si>
  <si>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</si>
  <si>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</si>
  <si>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</si>
  <si>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</si>
  <si>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</si>
  <si>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</si>
  <si>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</si>
  <si>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</si>
  <si>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</si>
  <si>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</si>
  <si>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</si>
  <si>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</si>
  <si>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</si>
  <si>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</si>
  <si>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</si>
  <si>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</si>
  <si>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</si>
  <si>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</si>
  <si>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</si>
  <si>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</si>
  <si>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</si>
  <si>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</si>
  <si>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</si>
  <si>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</si>
  <si>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</si>
  <si>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</si>
  <si>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</si>
  <si>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</si>
  <si>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</si>
  <si>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</si>
  <si>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</si>
  <si>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</si>
  <si>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</si>
  <si>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</si>
  <si>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</si>
  <si>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</si>
  <si>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</si>
  <si>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</si>
  <si>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</si>
  <si>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</si>
  <si>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</si>
  <si>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</si>
  <si>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</si>
  <si>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</si>
  <si>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</si>
  <si>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</si>
  <si>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</si>
  <si>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</si>
  <si>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</si>
  <si>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</si>
  <si>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</si>
  <si>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</si>
  <si>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</si>
  <si>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</si>
  <si>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</si>
  <si>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</si>
  <si>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</si>
  <si>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</si>
  <si>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</si>
  <si>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</si>
  <si>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</si>
  <si>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</si>
  <si>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</si>
  <si>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</si>
  <si>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</si>
  <si>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</si>
  <si>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</si>
  <si>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</si>
  <si>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</si>
  <si>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</si>
  <si>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</si>
  <si>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</si>
  <si>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</si>
  <si>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</si>
  <si>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</si>
  <si>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</si>
  <si>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</si>
  <si>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</si>
  <si>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</si>
  <si>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</si>
  <si>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</si>
  <si>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</si>
  <si>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</si>
  <si>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</si>
  <si>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</si>
  <si>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</si>
  <si>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</si>
  <si>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</si>
  <si>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</si>
  <si>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</si>
  <si>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</si>
  <si>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</si>
  <si>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</si>
  <si>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</si>
  <si>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</si>
  <si>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</si>
  <si>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</si>
  <si>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</si>
  <si>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</si>
  <si>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</si>
  <si>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</si>
  <si>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</si>
  <si>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</si>
  <si>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</si>
  <si>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</si>
  <si>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</si>
  <si>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</si>
  <si>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</si>
  <si>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</si>
  <si>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</si>
  <si>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</si>
  <si>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</si>
  <si>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</si>
  <si>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</si>
  <si>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</si>
  <si>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</si>
  <si>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</si>
  <si>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</si>
  <si>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</si>
  <si>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</si>
  <si>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</si>
  <si>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</si>
  <si>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</si>
  <si>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</si>
  <si>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</si>
  <si>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</si>
  <si>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</si>
  <si>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</si>
  <si>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</si>
  <si>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</si>
  <si>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</si>
  <si>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</si>
  <si>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</si>
  <si>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</si>
  <si>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</si>
  <si>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</si>
  <si>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</si>
  <si>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</si>
  <si>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</si>
  <si>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</si>
  <si>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</si>
  <si>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</si>
  <si>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</si>
  <si>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</si>
  <si>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</si>
  <si>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</si>
  <si>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</si>
  <si>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</si>
  <si>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</si>
  <si>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</si>
  <si>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</si>
  <si>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</si>
  <si>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</si>
  <si>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</si>
  <si>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</si>
  <si>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</si>
  <si>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</si>
  <si>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</si>
  <si>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</si>
  <si>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</si>
  <si>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</si>
  <si>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</si>
  <si>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</si>
  <si>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</si>
  <si>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</si>
  <si>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</si>
  <si>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</si>
  <si>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</si>
  <si>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</si>
  <si>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</si>
  <si>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</si>
  <si>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</si>
  <si>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</si>
  <si>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</si>
  <si>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</si>
  <si>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</si>
  <si>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</si>
  <si>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</si>
  <si>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</si>
  <si>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</si>
  <si>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</si>
  <si>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</si>
  <si>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</si>
  <si>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</si>
  <si>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</si>
  <si>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</si>
  <si>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</si>
  <si>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</si>
  <si>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</si>
  <si>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</si>
  <si>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</si>
  <si>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</si>
  <si>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</si>
  <si>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</si>
  <si>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</si>
  <si>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</si>
  <si>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</si>
  <si>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</si>
  <si>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</si>
  <si>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</si>
  <si>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</si>
  <si>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</si>
  <si>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</si>
  <si>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</si>
  <si>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</si>
  <si>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</si>
  <si>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</si>
  <si>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</si>
  <si>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</si>
  <si>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</si>
  <si>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</si>
  <si>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</si>
  <si>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</si>
  <si>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</si>
  <si>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</si>
  <si>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</si>
  <si>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</si>
  <si>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</si>
  <si>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</si>
  <si>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</si>
  <si>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</si>
  <si>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</si>
  <si>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</si>
  <si>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</si>
  <si>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</si>
  <si>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</si>
  <si>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</si>
  <si>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</si>
  <si>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</si>
  <si>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</si>
  <si>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</si>
  <si>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</si>
  <si>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</si>
  <si>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</si>
  <si>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</si>
  <si>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</si>
  <si>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</si>
  <si>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</si>
  <si>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</si>
  <si>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</si>
  <si>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</si>
  <si>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</si>
  <si>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</si>
  <si>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</si>
  <si>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</si>
  <si>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</si>
  <si>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</si>
  <si>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</si>
  <si>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</si>
  <si>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</si>
  <si>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</si>
  <si>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</si>
  <si>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</si>
  <si>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</si>
  <si>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</si>
  <si>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</si>
  <si>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</si>
  <si>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</si>
  <si>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</si>
  <si>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</si>
  <si>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</si>
  <si>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</si>
  <si>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</si>
  <si>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</si>
  <si>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</si>
  <si>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</si>
  <si>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</si>
  <si>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</si>
  <si>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</si>
  <si>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</si>
  <si>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</si>
  <si>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</si>
  <si>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</si>
  <si>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</si>
  <si>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</si>
  <si>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</si>
  <si>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</si>
  <si>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</si>
  <si>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</si>
  <si>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</si>
  <si>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</si>
  <si>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</si>
  <si>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</si>
  <si>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</si>
  <si>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</si>
  <si>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</si>
  <si>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</si>
  <si>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</si>
  <si>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</si>
  <si>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</si>
  <si>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</si>
  <si>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</si>
  <si>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</si>
  <si>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</si>
  <si>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</si>
  <si>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</si>
  <si>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</si>
  <si>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</si>
  <si>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</si>
  <si>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</si>
  <si>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</si>
  <si>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</si>
  <si>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</si>
  <si>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</si>
  <si>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</si>
  <si>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</si>
  <si>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</si>
  <si>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</si>
  <si>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</si>
  <si>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</si>
  <si>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</si>
  <si>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</si>
  <si>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</si>
  <si>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</si>
  <si>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</si>
  <si>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</si>
  <si>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</si>
  <si>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</si>
  <si>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</si>
  <si>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</si>
  <si>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</si>
  <si>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</si>
  <si>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</si>
  <si>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</si>
  <si>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</si>
  <si>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</si>
  <si>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</si>
  <si>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</si>
  <si>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</si>
  <si>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</si>
  <si>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</si>
  <si>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</si>
  <si>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</si>
  <si>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</si>
  <si>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</si>
  <si>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</si>
  <si>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</si>
  <si>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</si>
  <si>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</si>
  <si>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</si>
  <si>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</si>
  <si>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</si>
  <si>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</si>
  <si>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</si>
  <si>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</si>
  <si>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</si>
  <si>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</si>
  <si>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</si>
  <si>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</si>
  <si>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</si>
  <si>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</si>
  <si>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</si>
  <si>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</si>
  <si>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</si>
  <si>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</si>
  <si>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</si>
  <si>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</si>
  <si>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</si>
  <si>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</si>
  <si>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</si>
  <si>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</si>
  <si>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</si>
  <si>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</si>
  <si>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</si>
  <si>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</si>
  <si>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</si>
  <si>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</si>
  <si>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</si>
  <si>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</si>
  <si>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</si>
  <si>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</si>
  <si>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</si>
  <si>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</si>
  <si>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</si>
  <si>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</si>
  <si>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</si>
  <si>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</si>
  <si>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</si>
  <si>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</si>
  <si>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</si>
  <si>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</si>
  <si>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</si>
  <si>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</si>
  <si>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</si>
  <si>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</si>
  <si>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</si>
  <si>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</si>
  <si>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</si>
  <si>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</si>
  <si>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</si>
  <si>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</si>
  <si>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</si>
  <si>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</si>
  <si>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</si>
  <si>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</si>
  <si>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</si>
  <si>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</si>
  <si>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</si>
  <si>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</si>
  <si>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</si>
  <si>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</si>
  <si>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</si>
  <si>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</si>
  <si>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</si>
  <si>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</si>
  <si>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</si>
  <si>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</si>
  <si>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</si>
  <si>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</si>
  <si>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</si>
  <si>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</si>
  <si>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</si>
  <si>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</si>
  <si>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</si>
  <si>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</si>
  <si>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</si>
  <si>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</si>
  <si>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</si>
  <si>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</si>
  <si>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</si>
  <si>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</si>
  <si>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</si>
  <si>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</si>
  <si>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</si>
  <si>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</si>
  <si>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</si>
  <si>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</si>
  <si>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</si>
  <si>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</si>
  <si>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</si>
  <si>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</si>
  <si>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</si>
  <si>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</si>
  <si>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</si>
  <si>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</si>
  <si>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</si>
  <si>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</si>
  <si>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</si>
  <si>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</si>
  <si>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</si>
  <si>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</si>
  <si>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</si>
  <si>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</si>
  <si>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</si>
  <si>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</si>
  <si>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</si>
  <si>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</si>
  <si>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</si>
  <si>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</si>
  <si>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</si>
  <si>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</si>
  <si>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</si>
  <si>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</si>
  <si>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</si>
  <si>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</si>
  <si>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</si>
  <si>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</si>
  <si>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</si>
  <si>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</si>
  <si>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</si>
  <si>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</si>
  <si>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</si>
  <si>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</si>
  <si>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</si>
  <si>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</si>
  <si>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</si>
  <si>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</si>
  <si>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</si>
  <si>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</si>
  <si>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</si>
  <si>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</si>
  <si>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</si>
  <si>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</si>
  <si>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</si>
  <si>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</si>
  <si>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</si>
  <si>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</si>
  <si>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</si>
  <si>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</si>
  <si>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</si>
  <si>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</si>
  <si>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</si>
  <si>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</si>
  <si>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</si>
  <si>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</si>
  <si>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</si>
  <si>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</si>
  <si>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</si>
  <si>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</si>
  <si>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</si>
  <si>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</si>
  <si>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</si>
  <si>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</si>
  <si>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</si>
  <si>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</si>
  <si>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</si>
  <si>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</si>
  <si>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</si>
  <si>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</si>
  <si>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</si>
  <si>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</si>
  <si>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</si>
  <si>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</si>
  <si>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</si>
  <si>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</si>
  <si>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</si>
  <si>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</si>
  <si>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</si>
  <si>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</si>
  <si>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</si>
  <si>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</si>
  <si>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</si>
  <si>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</si>
  <si>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</si>
  <si>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</si>
  <si>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</si>
  <si>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</si>
  <si>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</si>
  <si>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</si>
  <si>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</si>
  <si>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</si>
  <si>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</si>
  <si>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</si>
  <si>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</si>
  <si>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</si>
  <si>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</si>
  <si>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</si>
  <si>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</si>
  <si>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</si>
  <si>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</si>
  <si>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</si>
  <si>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</si>
  <si>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</si>
  <si>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</si>
  <si>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</si>
  <si>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</si>
  <si>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</si>
  <si>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</si>
  <si>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</si>
  <si>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</si>
  <si>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</si>
  <si>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</si>
  <si>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</si>
  <si>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</si>
  <si>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</si>
  <si>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</si>
  <si>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</si>
  <si>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</si>
  <si>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</si>
  <si>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</si>
  <si>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</si>
  <si>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</si>
  <si>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</si>
  <si>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</si>
  <si>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</si>
  <si>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</si>
  <si>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</si>
  <si>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</si>
  <si>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</si>
  <si>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</si>
  <si>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</si>
  <si>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</si>
  <si>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</si>
  <si>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</si>
  <si>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</si>
  <si>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</si>
  <si>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</si>
  <si>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</si>
  <si>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</si>
  <si>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</si>
  <si>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</si>
  <si>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</si>
  <si>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</si>
  <si>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</si>
  <si>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</si>
  <si>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</si>
  <si>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</si>
  <si>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</si>
  <si>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</si>
  <si>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</si>
  <si>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</si>
  <si>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</si>
  <si>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</si>
  <si>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</si>
  <si>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</si>
  <si>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</si>
  <si>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</si>
  <si>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</si>
  <si>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</si>
  <si>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</si>
  <si>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</si>
  <si>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</si>
  <si>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</si>
  <si>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</si>
  <si>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</si>
  <si>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</si>
  <si>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</si>
  <si>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</si>
  <si>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</si>
  <si>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</si>
  <si>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</si>
  <si>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</si>
  <si>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</si>
  <si>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</si>
  <si>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</si>
  <si>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</si>
  <si>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</si>
  <si>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</si>
  <si>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</si>
  <si>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</si>
  <si>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</si>
  <si>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</si>
  <si>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</si>
  <si>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</si>
  <si>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</si>
  <si>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</si>
  <si>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</si>
  <si>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</si>
  <si>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</si>
  <si>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</si>
  <si>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</si>
  <si>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</si>
  <si>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</si>
  <si>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</si>
  <si>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</si>
  <si>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</si>
  <si>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</si>
  <si>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</si>
  <si>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</si>
  <si>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</si>
  <si>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</si>
  <si>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</si>
  <si>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</si>
  <si>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</si>
  <si>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</si>
  <si>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</si>
  <si>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</si>
  <si>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</si>
  <si>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</si>
  <si>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</si>
  <si>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</si>
  <si>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</si>
  <si>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</si>
  <si>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</si>
  <si>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</si>
  <si>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</si>
  <si>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</si>
  <si>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</si>
  <si>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</si>
  <si>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</si>
  <si>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</si>
  <si>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</si>
  <si>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</si>
  <si>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</si>
  <si>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</si>
  <si>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</si>
  <si>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</si>
  <si>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</si>
  <si>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</si>
  <si>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</si>
  <si>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</si>
  <si>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</si>
  <si>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</si>
  <si>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</si>
  <si>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</si>
  <si>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</si>
  <si>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</si>
  <si>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</si>
  <si>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</si>
  <si>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</si>
  <si>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</si>
  <si>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</si>
  <si>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</si>
  <si>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</si>
  <si>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</si>
  <si>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</si>
  <si>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</si>
  <si>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</si>
  <si>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</si>
  <si>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</si>
  <si>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</si>
  <si>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</si>
  <si>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</si>
  <si>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</si>
  <si>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</si>
  <si>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</si>
  <si>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</si>
  <si>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</si>
  <si>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</si>
  <si>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</si>
  <si>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</si>
  <si>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</si>
  <si>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</si>
  <si>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</si>
  <si>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</si>
  <si>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</si>
  <si>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</si>
  <si>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</si>
  <si>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</si>
  <si>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</si>
  <si>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</si>
  <si>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</si>
  <si>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</si>
  <si>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</si>
  <si>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</si>
  <si>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</si>
  <si>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</si>
  <si>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</si>
  <si>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</si>
  <si>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</si>
  <si>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</si>
  <si>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</si>
  <si>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</si>
  <si>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</si>
  <si>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</si>
  <si>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</si>
  <si>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</si>
  <si>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</si>
  <si>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</si>
  <si>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</si>
  <si>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</si>
  <si>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</si>
  <si>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</si>
  <si>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</si>
  <si>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</si>
  <si>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</si>
  <si>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</si>
  <si>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</si>
  <si>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</si>
  <si>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</si>
  <si>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</si>
  <si>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</si>
  <si>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</si>
  <si>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</si>
  <si>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</si>
  <si>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</si>
  <si>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</si>
  <si>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</si>
  <si>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</si>
  <si>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</si>
  <si>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</si>
  <si>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</si>
  <si>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</si>
  <si>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</si>
  <si>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</si>
  <si>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</si>
  <si>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</si>
  <si>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</si>
  <si>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</si>
  <si>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</si>
  <si>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</si>
  <si>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</si>
  <si>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</si>
  <si>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</si>
  <si>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</si>
  <si>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</si>
  <si>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</si>
  <si>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</si>
  <si>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</si>
  <si>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</si>
  <si>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</si>
  <si>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</si>
  <si>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</si>
  <si>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</si>
  <si>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</si>
  <si>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</si>
  <si>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</si>
  <si>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</si>
  <si>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</si>
  <si>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</si>
  <si>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</si>
  <si>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</si>
  <si>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</si>
  <si>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</si>
  <si>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</si>
  <si>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</si>
  <si>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</si>
  <si>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</si>
  <si>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</si>
  <si>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</si>
  <si>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</si>
  <si>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</si>
  <si>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</si>
  <si>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</si>
  <si>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</si>
  <si>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</si>
  <si>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</si>
  <si>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</si>
  <si>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</si>
  <si>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</si>
  <si>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</si>
  <si>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</si>
  <si>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</si>
  <si>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</si>
  <si>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</si>
  <si>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</si>
  <si>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</si>
  <si>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</si>
  <si>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</si>
  <si>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</si>
  <si>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</si>
  <si>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</si>
  <si>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</si>
  <si>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</si>
  <si>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</si>
  <si>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</si>
  <si>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</si>
  <si>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</si>
  <si>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</si>
  <si>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</si>
  <si>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</si>
  <si>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</si>
  <si>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</si>
  <si>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</si>
  <si>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</si>
  <si>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</si>
  <si>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</si>
  <si>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</si>
  <si>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</si>
  <si>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</si>
  <si>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</si>
  <si>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</si>
  <si>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</si>
  <si>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</si>
  <si>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</si>
  <si>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</si>
  <si>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</si>
  <si>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</si>
  <si>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</si>
  <si>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</si>
  <si>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</si>
  <si>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</si>
  <si>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</si>
  <si>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</si>
  <si>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</si>
  <si>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</si>
  <si>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</si>
  <si>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</si>
  <si>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</si>
  <si>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</si>
  <si>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</si>
  <si>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</si>
  <si>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</si>
  <si>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</si>
  <si>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</si>
  <si>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</si>
  <si>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</si>
  <si>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</si>
  <si>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</si>
  <si>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</si>
  <si>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</si>
  <si>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</si>
  <si>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</si>
  <si>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</si>
  <si>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</si>
  <si>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</si>
  <si>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</si>
  <si>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</si>
  <si>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</si>
  <si>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</si>
  <si>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</si>
  <si>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</si>
  <si>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</si>
  <si>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</si>
  <si>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</si>
  <si>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</si>
  <si>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</si>
  <si>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</si>
  <si>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</si>
  <si>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</si>
  <si>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</si>
  <si>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</si>
  <si>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</si>
  <si>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</si>
  <si>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</si>
  <si>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</si>
  <si>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</si>
  <si>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</si>
  <si>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</si>
  <si>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</si>
  <si>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</si>
  <si>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</si>
  <si>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</si>
  <si>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</si>
  <si>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</si>
  <si>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</si>
  <si>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</si>
  <si>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</si>
  <si>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</si>
  <si>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</si>
  <si>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</si>
  <si>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</si>
  <si>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</si>
  <si>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</si>
  <si>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</si>
  <si>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</si>
  <si>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</si>
  <si>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</si>
  <si>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</si>
  <si>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</si>
  <si>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</si>
  <si>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</si>
  <si>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</si>
  <si>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</si>
  <si>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</si>
  <si>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</si>
  <si>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</si>
  <si>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</si>
  <si>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</si>
  <si>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</si>
  <si>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</si>
  <si>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</si>
  <si>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</si>
  <si>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</si>
  <si>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</si>
  <si>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</si>
  <si>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</si>
  <si>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</si>
  <si>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</si>
  <si>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</si>
  <si>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</si>
  <si>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</si>
  <si>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</si>
  <si>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</si>
  <si>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</si>
  <si>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</si>
  <si>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</si>
  <si>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</si>
  <si>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</si>
  <si>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</si>
  <si>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</si>
  <si>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</si>
  <si>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</si>
  <si>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</si>
  <si>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</si>
  <si>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</si>
  <si>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</si>
  <si>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</si>
  <si>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</si>
  <si>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</si>
  <si>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</si>
  <si>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</si>
  <si>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</si>
  <si>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</si>
  <si>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</si>
  <si>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</si>
  <si>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</si>
  <si>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</si>
  <si>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</si>
  <si>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</si>
  <si>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</si>
  <si>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</si>
  <si>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</si>
  <si>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</si>
  <si>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</si>
  <si>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</si>
  <si>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</si>
  <si>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</si>
  <si>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</si>
  <si>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</si>
  <si>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</si>
  <si>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</si>
  <si>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</si>
  <si>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</si>
  <si>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</si>
  <si>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</si>
  <si>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</si>
  <si>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</si>
  <si>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</si>
  <si>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</si>
  <si>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</si>
  <si>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</si>
  <si>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</si>
  <si>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</si>
  <si>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</si>
  <si>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</si>
  <si>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</si>
  <si>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</si>
  <si>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</si>
  <si>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</si>
  <si>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</si>
  <si>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</si>
  <si>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</si>
  <si>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</si>
  <si>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</si>
  <si>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</si>
  <si>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</si>
  <si>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</si>
  <si>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</si>
  <si>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</si>
  <si>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</si>
  <si>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</si>
  <si>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</si>
  <si>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</si>
  <si>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</si>
  <si>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</si>
  <si>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</si>
  <si>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</si>
  <si>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</si>
  <si>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</si>
  <si>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</si>
  <si>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</si>
  <si>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</si>
  <si>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</si>
  <si>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</si>
  <si>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</si>
  <si>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</si>
  <si>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</si>
  <si>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</si>
  <si>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</si>
  <si>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</si>
  <si>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</si>
  <si>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</si>
  <si>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</si>
  <si>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</si>
  <si>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</si>
  <si>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</si>
  <si>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</si>
  <si>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</si>
  <si>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</si>
  <si>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</si>
  <si>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</si>
  <si>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</si>
  <si>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</si>
  <si>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</si>
  <si>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</si>
  <si>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</si>
  <si>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</si>
  <si>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</si>
  <si>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</si>
  <si>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</si>
  <si>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</si>
  <si>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</si>
  <si>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</si>
  <si>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</si>
  <si>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</si>
  <si>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</si>
  <si>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</si>
  <si>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</si>
  <si>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</si>
  <si>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</si>
  <si>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</si>
  <si>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</si>
  <si>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</si>
  <si>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</si>
  <si>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</si>
  <si>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</si>
  <si>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</si>
  <si>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</si>
  <si>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</si>
  <si>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</si>
  <si>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</si>
  <si>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</si>
  <si>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</si>
  <si>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</si>
  <si>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</si>
  <si>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</si>
  <si>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</si>
  <si>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</si>
  <si>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</si>
  <si>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</si>
  <si>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</si>
  <si>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</si>
  <si>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</si>
  <si>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</si>
  <si>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</si>
  <si>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</si>
  <si>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</si>
  <si>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</si>
  <si>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</si>
  <si>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</si>
  <si>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</si>
  <si>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</si>
  <si>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</si>
  <si>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</si>
  <si>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</si>
  <si>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</si>
  <si>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</si>
  <si>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</si>
  <si>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</si>
  <si>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</si>
  <si>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</si>
  <si>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</si>
  <si>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</si>
  <si>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</si>
  <si>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</si>
  <si>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</si>
  <si>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</si>
  <si>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</si>
  <si>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</si>
  <si>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</si>
  <si>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</si>
  <si>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</si>
  <si>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</si>
  <si>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</si>
  <si>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</si>
  <si>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</si>
  <si>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</si>
  <si>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</si>
  <si>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</si>
  <si>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</si>
  <si>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</si>
  <si>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</si>
  <si>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</si>
  <si>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</si>
  <si>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</si>
  <si>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</si>
  <si>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</si>
  <si>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</si>
  <si>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</si>
  <si>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</si>
  <si>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</si>
  <si>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</si>
  <si>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</si>
  <si>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</si>
  <si>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</si>
  <si>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</si>
  <si>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</si>
  <si>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</si>
  <si>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</si>
  <si>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</si>
  <si>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</si>
  <si>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</si>
  <si>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</si>
  <si>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</si>
  <si>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</si>
  <si>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</si>
  <si>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</si>
  <si>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</si>
  <si>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</si>
  <si>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</si>
  <si>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</si>
  <si>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</si>
  <si>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</si>
  <si>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</si>
  <si>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</si>
  <si>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</si>
  <si>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</si>
  <si>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</si>
  <si>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</si>
  <si>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</si>
  <si>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</si>
  <si>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</si>
  <si>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</si>
  <si>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</si>
  <si>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</si>
  <si>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</si>
  <si>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</si>
  <si>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</si>
  <si>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</si>
  <si>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</si>
  <si>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</si>
  <si>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</si>
  <si>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</si>
  <si>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</si>
  <si>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</si>
  <si>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</si>
  <si>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</si>
  <si>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</si>
  <si>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</si>
  <si>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</si>
  <si>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</si>
  <si>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</si>
  <si>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</si>
  <si>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</si>
  <si>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</si>
  <si>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</si>
  <si>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</si>
  <si>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</si>
  <si>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</si>
  <si>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</si>
  <si>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</si>
  <si>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</si>
  <si>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</si>
  <si>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</si>
  <si>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</si>
  <si>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</si>
  <si>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</si>
  <si>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</si>
  <si>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</si>
  <si>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</si>
  <si>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</si>
  <si>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</si>
  <si>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</si>
  <si>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</si>
  <si>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</si>
  <si>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</si>
  <si>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</si>
  <si>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</si>
  <si>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</si>
  <si>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</si>
  <si>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</si>
  <si>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</si>
  <si>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</si>
  <si>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</si>
  <si>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</si>
  <si>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</si>
  <si>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</si>
  <si>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</si>
  <si>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</si>
  <si>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</si>
  <si>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</si>
  <si>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</si>
  <si>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</si>
  <si>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</si>
  <si>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</si>
  <si>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</si>
  <si>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</si>
  <si>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</si>
  <si>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</si>
  <si>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</si>
  <si>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</si>
  <si>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</si>
  <si>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</si>
  <si>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</si>
  <si>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</si>
  <si>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</si>
  <si>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</si>
  <si>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</si>
  <si>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</si>
  <si>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</si>
  <si>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</si>
  <si>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</si>
  <si>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</si>
  <si>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</si>
  <si>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</si>
  <si>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</si>
  <si>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</si>
  <si>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</si>
  <si>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</si>
  <si>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</si>
  <si>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</si>
  <si>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</si>
  <si>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</si>
  <si>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</si>
  <si>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</si>
  <si>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</si>
  <si>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</si>
  <si>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</si>
  <si>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</si>
  <si>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</si>
  <si>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</si>
  <si>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</si>
  <si>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</si>
  <si>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</si>
  <si>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</si>
  <si>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</si>
  <si>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</si>
  <si>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</si>
  <si>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</si>
  <si>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</si>
  <si>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</si>
  <si>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</si>
  <si>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</si>
  <si>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</si>
  <si>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</si>
  <si>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</si>
  <si>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</si>
  <si>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</si>
  <si>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</si>
  <si>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</si>
  <si>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</si>
  <si>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</si>
  <si>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</si>
  <si>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</si>
  <si>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</si>
  <si>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</si>
  <si>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</si>
  <si>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</si>
  <si>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</si>
  <si>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</si>
  <si>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</si>
  <si>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</si>
  <si>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</si>
  <si>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</si>
  <si>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</si>
  <si>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</si>
  <si>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</si>
  <si>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</si>
  <si>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</si>
  <si>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</si>
  <si>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</si>
  <si>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</si>
  <si>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</si>
  <si>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</si>
  <si>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</si>
  <si>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</si>
  <si>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</si>
  <si>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</si>
  <si>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</si>
  <si>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</si>
  <si>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</si>
  <si>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</si>
  <si>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</si>
  <si>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</si>
  <si>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</si>
  <si>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</si>
  <si>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</si>
  <si>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</si>
  <si>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</si>
  <si>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</si>
  <si>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</si>
  <si>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</si>
  <si>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</si>
  <si>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</si>
  <si>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</si>
  <si>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</si>
  <si>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</si>
  <si>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</si>
  <si>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</si>
  <si>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</si>
  <si>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</si>
  <si>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</si>
  <si>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</si>
  <si>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</si>
  <si>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</si>
  <si>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</si>
  <si>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</si>
  <si>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</si>
  <si>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</si>
  <si>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</si>
  <si>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</si>
  <si>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</si>
  <si>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</si>
  <si>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</si>
  <si>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</si>
  <si>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</si>
  <si>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</si>
  <si>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</si>
  <si>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</si>
  <si>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</si>
  <si>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</si>
  <si>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</si>
  <si>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</si>
  <si>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</si>
  <si>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</si>
  <si>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</si>
  <si>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</si>
  <si>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</si>
  <si>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</si>
  <si>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</si>
  <si>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</si>
  <si>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</si>
  <si>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</si>
  <si>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</si>
  <si>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</si>
  <si>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</si>
  <si>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</si>
  <si>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</si>
  <si>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</si>
  <si>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</si>
  <si>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</si>
  <si>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</si>
  <si>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</si>
  <si>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</si>
  <si>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</si>
  <si>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</si>
  <si>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</si>
  <si>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</si>
  <si>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</si>
  <si>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</si>
  <si>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</si>
  <si>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</si>
  <si>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</si>
  <si>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</si>
  <si>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</si>
  <si>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</si>
  <si>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</si>
  <si>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</si>
  <si>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</si>
  <si>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</si>
  <si>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</si>
  <si>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</si>
  <si>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</si>
  <si>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</si>
  <si>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</si>
  <si>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</si>
  <si>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</si>
  <si>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</si>
  <si>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</si>
  <si>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</si>
  <si>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</si>
  <si>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</si>
  <si>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</si>
  <si>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</si>
  <si>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</si>
  <si>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</si>
  <si>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</si>
  <si>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</si>
  <si>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</si>
  <si>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</si>
  <si>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</si>
  <si>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</si>
  <si>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</si>
  <si>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</si>
  <si>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</si>
  <si>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</si>
  <si>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</si>
  <si>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</si>
  <si>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</si>
  <si>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</si>
  <si>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</si>
  <si>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</si>
  <si>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</si>
  <si>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</si>
  <si>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</si>
  <si>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</si>
  <si>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</si>
  <si>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</si>
  <si>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</si>
  <si>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</si>
  <si>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</si>
  <si>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</si>
  <si>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</si>
  <si>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</si>
  <si>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</si>
  <si>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</si>
  <si>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</si>
  <si>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</si>
  <si>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</si>
  <si>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</si>
  <si>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</si>
  <si>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</si>
  <si>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</si>
  <si>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</si>
  <si>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</si>
  <si>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</si>
  <si>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</si>
  <si>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</si>
  <si>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</si>
  <si>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</si>
  <si>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</si>
  <si>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</si>
  <si>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</si>
  <si>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</si>
  <si>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</si>
  <si>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</si>
  <si>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</si>
  <si>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</si>
  <si>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</si>
  <si>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</si>
  <si>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</si>
  <si>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</si>
  <si>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</si>
  <si>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</si>
  <si>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</si>
  <si>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</si>
  <si>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</si>
  <si>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</si>
  <si>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</si>
  <si>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</si>
  <si>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</si>
  <si>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</si>
  <si>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</si>
  <si>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</si>
  <si>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</si>
  <si>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</si>
  <si>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</si>
  <si>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</si>
  <si>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</si>
  <si>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</si>
  <si>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</si>
  <si>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</si>
  <si>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</si>
  <si>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</si>
  <si>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</si>
  <si>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</si>
  <si>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</si>
  <si>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</si>
  <si>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</si>
  <si>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</si>
  <si>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</si>
  <si>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</si>
  <si>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</si>
  <si>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</si>
  <si>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</si>
  <si>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</si>
  <si>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</si>
  <si>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</si>
  <si>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</si>
  <si>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</si>
  <si>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</si>
  <si>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</si>
  <si>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</si>
  <si>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</si>
  <si>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</si>
  <si>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</si>
  <si>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</si>
  <si>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</si>
  <si>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</si>
  <si>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</si>
  <si>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</si>
  <si>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</si>
  <si>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</si>
  <si>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</si>
  <si>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</si>
  <si>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</si>
  <si>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</si>
  <si>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</si>
  <si>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</si>
  <si>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</si>
  <si>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</si>
  <si>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</si>
  <si>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</si>
  <si>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</si>
  <si>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</si>
  <si>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</si>
  <si>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</si>
  <si>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</si>
  <si>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</si>
  <si>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</si>
  <si>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</si>
  <si>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</si>
  <si>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</si>
  <si>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</si>
  <si>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</si>
  <si>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</si>
  <si>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</si>
  <si>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</si>
  <si>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</si>
  <si>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</si>
  <si>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</si>
  <si>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</si>
  <si>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</si>
  <si>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</si>
  <si>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</si>
  <si>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</si>
  <si>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</si>
  <si>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</si>
  <si>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</si>
  <si>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</si>
  <si>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</si>
  <si>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</si>
  <si>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</si>
  <si>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</si>
  <si>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</si>
  <si>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</si>
  <si>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</si>
  <si>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</si>
  <si>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</si>
  <si>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</si>
  <si>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</si>
  <si>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</si>
  <si>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</si>
  <si>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</si>
  <si>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</si>
  <si>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</si>
  <si>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</si>
  <si>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</si>
  <si>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</si>
  <si>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</si>
  <si>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</si>
  <si>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</si>
  <si>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</si>
  <si>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</si>
  <si>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</si>
  <si>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</si>
  <si>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</si>
  <si>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</si>
  <si>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</si>
  <si>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</si>
  <si>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</si>
  <si>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</si>
  <si>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</si>
  <si>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</si>
  <si>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</si>
  <si>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</si>
  <si>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</si>
  <si>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</si>
  <si>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</si>
  <si>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</si>
  <si>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</si>
  <si>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</si>
  <si>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</si>
  <si>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</si>
  <si>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</si>
  <si>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</si>
  <si>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</si>
  <si>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</si>
  <si>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</si>
  <si>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</si>
  <si>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</si>
  <si>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</si>
  <si>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</si>
  <si>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</si>
  <si>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</si>
  <si>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</si>
  <si>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</si>
  <si>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</si>
  <si>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</si>
  <si>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</si>
  <si>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</si>
  <si>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</si>
  <si>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</si>
  <si>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</si>
  <si>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</si>
  <si>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</si>
  <si>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</si>
  <si>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</si>
  <si>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</si>
  <si>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</si>
  <si>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</si>
  <si>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</si>
  <si>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</si>
  <si>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</si>
  <si>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</si>
  <si>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</si>
  <si>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</si>
  <si>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</si>
  <si>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</si>
  <si>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</si>
  <si>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</si>
  <si>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</si>
  <si>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</si>
  <si>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</si>
  <si>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</si>
  <si>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</si>
  <si>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</si>
  <si>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</si>
  <si>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</si>
  <si>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</si>
  <si>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</si>
  <si>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</si>
  <si>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</si>
  <si>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</si>
  <si>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</si>
  <si>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</si>
  <si>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</si>
  <si>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</si>
  <si>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</si>
  <si>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</si>
  <si>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</si>
  <si>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</si>
  <si>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</si>
  <si>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</si>
  <si>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</si>
  <si>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</si>
  <si>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</si>
  <si>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</si>
  <si>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</si>
  <si>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</si>
  <si>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</si>
  <si>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</si>
  <si>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</si>
  <si>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</si>
  <si>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</si>
  <si>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</si>
  <si>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</si>
  <si>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</si>
  <si>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</si>
  <si>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</si>
  <si>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</si>
  <si>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</si>
  <si>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</si>
  <si>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</si>
  <si>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</si>
  <si>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</si>
  <si>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</si>
  <si>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</si>
  <si>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</si>
  <si>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</si>
  <si>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</si>
  <si>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</si>
  <si>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</si>
  <si>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</si>
  <si>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</si>
  <si>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</si>
  <si>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</si>
  <si>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</si>
  <si>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</si>
  <si>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</si>
  <si>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</si>
  <si>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</si>
  <si>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</si>
  <si>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</si>
  <si>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</si>
  <si>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</si>
  <si>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</si>
  <si>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</si>
  <si>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</si>
  <si>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</si>
  <si>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</si>
  <si>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</si>
  <si>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</si>
  <si>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</si>
  <si>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</si>
  <si>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</si>
  <si>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</si>
  <si>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</si>
  <si>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</si>
  <si>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</si>
  <si>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</si>
  <si>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</si>
  <si>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</si>
  <si>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</si>
  <si>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</si>
  <si>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</si>
  <si>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</si>
  <si>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</si>
  <si>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</si>
  <si>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</si>
  <si>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</si>
  <si>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</si>
  <si>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</si>
  <si>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</si>
  <si>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</si>
  <si>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</si>
  <si>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</si>
  <si>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</si>
  <si>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</si>
  <si>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</si>
  <si>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</si>
  <si>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</si>
  <si>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</si>
  <si>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</si>
  <si>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</si>
  <si>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</si>
  <si>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</si>
  <si>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</si>
  <si>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</si>
  <si>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</si>
  <si>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</si>
  <si>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</si>
  <si>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</si>
  <si>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</si>
  <si>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</si>
  <si>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</si>
  <si>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</si>
  <si>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</si>
  <si>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</si>
  <si>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</si>
  <si>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</si>
  <si>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</si>
  <si>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</si>
  <si>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</si>
  <si>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</si>
  <si>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</si>
  <si>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</si>
  <si>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</si>
  <si>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</si>
  <si>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</si>
  <si>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</si>
  <si>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</si>
  <si>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</si>
  <si>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</si>
  <si>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</si>
  <si>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</si>
  <si>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</si>
  <si>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</si>
  <si>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</si>
  <si>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</si>
  <si>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</si>
  <si>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</si>
  <si>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</si>
  <si>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</si>
  <si>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</si>
  <si>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</si>
  <si>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</si>
  <si>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</si>
  <si>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</si>
  <si>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</si>
  <si>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</si>
  <si>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</si>
  <si>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</si>
  <si>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</si>
  <si>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</si>
  <si>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</si>
  <si>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</si>
  <si>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</si>
  <si>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</si>
  <si>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</si>
  <si>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</si>
  <si>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</si>
  <si>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</si>
  <si>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</si>
  <si>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</si>
  <si>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</si>
  <si>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</si>
  <si>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</si>
  <si>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</si>
  <si>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</si>
  <si>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</si>
  <si>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</si>
  <si>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</si>
  <si>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</si>
  <si>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</si>
  <si>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</si>
  <si>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</si>
  <si>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</si>
  <si>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</si>
  <si>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</si>
  <si>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</si>
  <si>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</si>
  <si>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</si>
  <si>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</si>
  <si>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</si>
  <si>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</si>
  <si>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</si>
  <si>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</si>
  <si>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</si>
  <si>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</si>
  <si>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</si>
  <si>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</si>
  <si>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</si>
  <si>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</si>
  <si>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</si>
  <si>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</si>
  <si>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</si>
  <si>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</si>
  <si>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</si>
  <si>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</si>
  <si>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</si>
  <si>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</si>
  <si>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</si>
  <si>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</si>
  <si>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</si>
  <si>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</si>
  <si>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</si>
  <si>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</si>
  <si>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</si>
  <si>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</si>
  <si>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</si>
  <si>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</si>
  <si>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</si>
  <si>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</si>
  <si>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</si>
  <si>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</si>
  <si>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</si>
  <si>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</si>
  <si>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</si>
  <si>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</si>
  <si>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</si>
  <si>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</si>
  <si>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</si>
  <si>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</si>
  <si>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</si>
  <si>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</si>
  <si>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</si>
  <si>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</si>
  <si>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</si>
  <si>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</si>
  <si>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</si>
  <si>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</si>
  <si>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</si>
  <si>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</si>
  <si>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</si>
  <si>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</si>
  <si>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</si>
  <si>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</si>
  <si>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</si>
  <si>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</si>
  <si>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</si>
  <si>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</si>
  <si>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</si>
  <si>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</si>
  <si>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</si>
  <si>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</si>
  <si>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</si>
  <si>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</si>
  <si>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</si>
  <si>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</si>
  <si>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</si>
  <si>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</si>
  <si>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</si>
  <si>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</si>
  <si>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</si>
  <si>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</si>
  <si>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</si>
  <si>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</si>
  <si>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</si>
  <si>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</si>
  <si>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</si>
  <si>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</si>
  <si>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</si>
  <si>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</si>
  <si>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</si>
  <si>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</si>
  <si>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</si>
  <si>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</si>
  <si>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</si>
  <si>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</si>
  <si>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</si>
  <si>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</si>
  <si>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</si>
  <si>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</si>
  <si>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</si>
  <si>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</si>
  <si>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</si>
  <si>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</si>
  <si>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</si>
  <si>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</si>
  <si>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</si>
  <si>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</si>
  <si>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</si>
  <si>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</si>
  <si>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</si>
  <si>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</si>
  <si>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</si>
  <si>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</si>
  <si>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</si>
  <si>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</si>
  <si>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</si>
  <si>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</si>
  <si>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</si>
  <si>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</si>
  <si>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</si>
  <si>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</si>
  <si>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</si>
  <si>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</si>
  <si>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</si>
  <si>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</si>
  <si>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</si>
  <si>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</si>
  <si>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</si>
  <si>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</si>
  <si>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</si>
  <si>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</si>
  <si>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</si>
  <si>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</si>
  <si>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</si>
  <si>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</si>
  <si>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</si>
  <si>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</si>
  <si>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</si>
  <si>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</si>
  <si>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</si>
  <si>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</si>
  <si>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</si>
  <si>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</si>
  <si>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</si>
  <si>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</si>
  <si>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</si>
  <si>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</si>
  <si>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</si>
  <si>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</si>
  <si>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</si>
  <si>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</si>
  <si>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</si>
  <si>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</si>
  <si>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</si>
  <si>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</si>
  <si>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</si>
  <si>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</si>
  <si>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</si>
  <si>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</si>
  <si>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</si>
  <si>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</si>
  <si>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</si>
  <si>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</si>
  <si>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</si>
  <si>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</si>
  <si>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</si>
  <si>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</si>
  <si>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</si>
  <si>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</si>
  <si>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</si>
  <si>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</si>
  <si>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</si>
  <si>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</si>
  <si>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</si>
  <si>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</si>
  <si>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</si>
  <si>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</si>
  <si>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</si>
  <si>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</si>
  <si>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</si>
  <si>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</si>
  <si>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</si>
  <si>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</si>
  <si>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</si>
  <si>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</si>
  <si>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</si>
  <si>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</si>
  <si>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</si>
  <si>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</si>
  <si>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</si>
  <si>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</si>
  <si>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</si>
  <si>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</si>
  <si>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</si>
  <si>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</si>
  <si>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</si>
  <si>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</si>
  <si>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</si>
  <si>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</si>
  <si>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</si>
  <si>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</si>
  <si>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</si>
  <si>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</si>
  <si>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</si>
  <si>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</si>
  <si>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</si>
  <si>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</si>
  <si>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</si>
  <si>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</si>
  <si>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</si>
  <si>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</si>
  <si>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</si>
  <si>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</si>
  <si>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</si>
  <si>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</si>
  <si>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</si>
  <si>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</si>
  <si>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</si>
  <si>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</si>
  <si>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</si>
  <si>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</si>
  <si>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</si>
  <si>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</si>
  <si>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</si>
  <si>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</si>
  <si>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</si>
  <si>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</si>
  <si>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</si>
  <si>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</si>
  <si>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</si>
  <si>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</si>
  <si>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</si>
  <si>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</si>
  <si>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</si>
  <si>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</si>
  <si>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</si>
  <si>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</si>
  <si>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</si>
  <si>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</si>
  <si>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</si>
  <si>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</si>
  <si>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</si>
  <si>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</si>
  <si>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</si>
  <si>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</si>
  <si>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</si>
  <si>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</si>
  <si>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</si>
  <si>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</si>
  <si>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</si>
  <si>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</si>
  <si>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</si>
  <si>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</si>
  <si>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</si>
  <si>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</si>
  <si>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</si>
  <si>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</si>
  <si>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</si>
  <si>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</si>
  <si>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</si>
  <si>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</si>
  <si>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</si>
  <si>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</si>
  <si>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</si>
  <si>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</si>
  <si>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</si>
  <si>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</si>
  <si>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</si>
  <si>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</si>
  <si>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</si>
  <si>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</si>
  <si>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</si>
  <si>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</si>
  <si>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</si>
  <si>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</si>
  <si>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</si>
  <si>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</si>
  <si>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</si>
  <si>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</si>
  <si>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</si>
  <si>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</si>
  <si>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</si>
  <si>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</si>
  <si>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</si>
  <si>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</si>
  <si>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</si>
  <si>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</si>
  <si>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</si>
  <si>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</si>
  <si>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</si>
  <si>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</si>
  <si>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</si>
  <si>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</si>
  <si>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</si>
  <si>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</si>
  <si>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</si>
  <si>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</si>
  <si>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</si>
  <si>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</si>
  <si>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</si>
  <si>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</si>
  <si>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</si>
  <si>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</si>
  <si>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</si>
  <si>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</si>
  <si>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</si>
  <si>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</si>
  <si>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</si>
  <si>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</si>
  <si>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</si>
  <si>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</si>
  <si>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</si>
  <si>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</si>
  <si>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</si>
  <si>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</si>
  <si>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</si>
  <si>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</si>
  <si>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</si>
  <si>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</si>
  <si>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</si>
  <si>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</si>
  <si>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</si>
  <si>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</si>
  <si>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</si>
  <si>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</si>
  <si>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</si>
  <si>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</si>
  <si>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</si>
  <si>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</si>
  <si>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</si>
  <si>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</si>
  <si>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</si>
  <si>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</si>
  <si>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</si>
  <si>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</si>
  <si>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</si>
  <si>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</si>
  <si>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</si>
  <si>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</si>
  <si>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</si>
  <si>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</si>
  <si>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</si>
  <si>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</si>
  <si>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</si>
  <si>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</si>
  <si>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</si>
  <si>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</si>
  <si>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</si>
  <si>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</si>
  <si>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</si>
  <si>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</si>
  <si>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</si>
  <si>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</si>
  <si>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</si>
  <si>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</si>
  <si>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</si>
  <si>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</si>
  <si>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</si>
  <si>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</si>
  <si>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</si>
  <si>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</si>
  <si>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</si>
  <si>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</si>
  <si>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</si>
  <si>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</si>
  <si>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</si>
  <si>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</si>
  <si>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</si>
  <si>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</si>
  <si>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</si>
  <si>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</si>
  <si>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</si>
  <si>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</si>
  <si>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</si>
  <si>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</si>
  <si>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</si>
  <si>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</si>
  <si>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</si>
  <si>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</si>
  <si>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</si>
  <si>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</si>
  <si>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</si>
  <si>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</si>
  <si>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</si>
  <si>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</si>
  <si>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</si>
  <si>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</si>
  <si>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</si>
  <si>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</si>
  <si>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</si>
  <si>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</si>
  <si>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</si>
  <si>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</si>
  <si>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</si>
  <si>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</si>
  <si>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</si>
  <si>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</si>
  <si>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</si>
  <si>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</si>
  <si>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</si>
  <si>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</si>
  <si>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</si>
  <si>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</si>
  <si>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</si>
  <si>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</si>
  <si>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</si>
  <si>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</si>
  <si>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</si>
  <si>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</si>
  <si>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</si>
  <si>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</si>
  <si>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</si>
  <si>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</si>
  <si>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</si>
  <si>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</si>
  <si>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</si>
  <si>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</si>
  <si>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</si>
  <si>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</si>
  <si>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</si>
  <si>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</si>
  <si>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</si>
  <si>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</si>
  <si>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</si>
  <si>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</si>
  <si>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</si>
  <si>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</si>
  <si>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</si>
  <si>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</si>
  <si>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</si>
  <si>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</si>
  <si>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</si>
  <si>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</si>
  <si>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</si>
  <si>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</si>
  <si>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</si>
  <si>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</si>
  <si>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</si>
  <si>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</si>
  <si>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</si>
  <si>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</si>
  <si>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</si>
  <si>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</si>
  <si>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</si>
  <si>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</si>
  <si>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</si>
  <si>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</si>
  <si>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</si>
  <si>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</si>
  <si>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</si>
  <si>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</si>
  <si>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</si>
  <si>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</si>
  <si>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</si>
  <si>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</si>
  <si>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</si>
  <si>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</si>
  <si>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</si>
  <si>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</si>
  <si>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</si>
  <si>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</si>
  <si>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</si>
  <si>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</si>
  <si>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</si>
  <si>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</si>
  <si>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</si>
  <si>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</si>
  <si>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</si>
  <si>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</si>
  <si>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</si>
  <si>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</si>
  <si>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</si>
  <si>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</si>
  <si>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</si>
  <si>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</si>
  <si>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</si>
  <si>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</si>
  <si>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</si>
  <si>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</si>
  <si>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</si>
  <si>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</si>
  <si>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</si>
  <si>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</si>
  <si>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</si>
  <si>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</si>
  <si>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</si>
  <si>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</si>
  <si>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</si>
  <si>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</si>
  <si>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</si>
  <si>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</si>
  <si>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</si>
  <si>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</si>
  <si>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</si>
  <si>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</si>
  <si>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</si>
  <si>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</si>
  <si>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</si>
  <si>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</si>
  <si>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</si>
  <si>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</si>
  <si>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</si>
  <si>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</si>
  <si>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</si>
  <si>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</si>
  <si>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</si>
  <si>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</si>
  <si>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</si>
  <si>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</si>
  <si>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</si>
  <si>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</si>
  <si>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</si>
  <si>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</si>
  <si>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</si>
  <si>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</si>
  <si>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</si>
  <si>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</si>
  <si>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</si>
  <si>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</si>
  <si>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</si>
  <si>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</si>
  <si>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</si>
  <si>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</si>
  <si>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</si>
  <si>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</si>
  <si>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</si>
  <si>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</si>
  <si>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</si>
  <si>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</si>
  <si>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</si>
  <si>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</si>
  <si>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</si>
  <si>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</si>
  <si>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</si>
  <si>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</si>
  <si>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</si>
  <si>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</si>
  <si>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</si>
  <si>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</si>
  <si>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</si>
  <si>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</si>
  <si>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</si>
  <si>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</si>
  <si>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</si>
  <si>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</si>
  <si>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</si>
  <si>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</si>
  <si>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</si>
  <si>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</si>
  <si>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</si>
  <si>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</si>
  <si>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</si>
  <si>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</si>
  <si>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</si>
  <si>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</si>
  <si>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</si>
  <si>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</si>
  <si>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</si>
  <si>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</si>
  <si>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</si>
  <si>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</si>
  <si>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</si>
  <si>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</si>
  <si>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</si>
  <si>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</si>
  <si>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</si>
  <si>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</si>
  <si>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</si>
  <si>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</si>
  <si>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</si>
  <si>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</si>
  <si>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</si>
  <si>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</si>
  <si>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</si>
  <si>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</si>
  <si>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</si>
  <si>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</si>
  <si>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</si>
  <si>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</si>
  <si>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</si>
  <si>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</si>
  <si>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</si>
  <si>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</si>
  <si>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</si>
  <si>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</si>
  <si>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</si>
  <si>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</si>
  <si>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</si>
  <si>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</si>
  <si>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</si>
  <si>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</si>
  <si>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</si>
  <si>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</si>
  <si>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</si>
  <si>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</si>
  <si>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</si>
  <si>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</si>
  <si>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</si>
  <si>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</si>
  <si>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</si>
  <si>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</si>
  <si>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</si>
  <si>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</si>
  <si>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</si>
  <si>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</si>
  <si>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</si>
  <si>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</si>
  <si>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</si>
  <si>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</si>
  <si>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</si>
  <si>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</si>
  <si>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</si>
  <si>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</si>
  <si>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</si>
  <si>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</si>
  <si>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</si>
  <si>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</si>
  <si>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</si>
  <si>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</si>
  <si>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</si>
  <si>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</si>
  <si>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</si>
  <si>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</si>
  <si>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</si>
  <si>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</si>
  <si>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</si>
  <si>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</si>
  <si>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</si>
  <si>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</si>
  <si>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</si>
  <si>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</si>
  <si>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</si>
  <si>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</si>
  <si>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</si>
  <si>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</si>
  <si>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</si>
  <si>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</si>
  <si>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</si>
  <si>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</si>
  <si>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</si>
  <si>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</si>
  <si>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</si>
  <si>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</si>
  <si>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</si>
  <si>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</si>
  <si>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</si>
  <si>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</si>
  <si>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</si>
  <si>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</si>
  <si>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</si>
  <si>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</si>
  <si>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</si>
  <si>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</si>
  <si>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</si>
  <si>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</si>
  <si>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</si>
  <si>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</si>
  <si>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</si>
  <si>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</si>
  <si>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</si>
  <si>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</si>
  <si>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</si>
  <si>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</si>
  <si>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</si>
  <si>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</si>
  <si>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</si>
  <si>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</si>
  <si>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</si>
  <si>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</si>
  <si>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</si>
  <si>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</si>
  <si>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</si>
  <si>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</si>
  <si>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</si>
  <si>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</si>
  <si>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</si>
  <si>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</si>
  <si>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</si>
  <si>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</si>
  <si>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</si>
  <si>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</si>
  <si>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</si>
  <si>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</si>
  <si>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</si>
  <si>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</si>
  <si>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</si>
  <si>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</si>
  <si>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</si>
  <si>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</si>
  <si>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</si>
  <si>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</si>
  <si>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</si>
  <si>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</si>
  <si>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</si>
  <si>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</si>
  <si>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</si>
  <si>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</si>
  <si>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</si>
  <si>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</si>
  <si>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</si>
  <si>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</si>
  <si>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</si>
  <si>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</si>
  <si>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</si>
  <si>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</si>
  <si>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</si>
  <si>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</si>
  <si>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</si>
  <si>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</si>
  <si>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</si>
  <si>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</si>
  <si>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</si>
  <si>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</si>
  <si>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</si>
  <si>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</si>
  <si>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</si>
  <si>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</si>
  <si>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</si>
  <si>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</si>
  <si>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</si>
  <si>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</si>
  <si>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</si>
  <si>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</si>
  <si>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</si>
  <si>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</si>
  <si>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</si>
  <si>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</si>
  <si>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</si>
  <si>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</si>
  <si>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</si>
  <si>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</si>
  <si>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</si>
  <si>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</si>
  <si>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</si>
  <si>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</si>
  <si>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</si>
  <si>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</si>
  <si>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</si>
  <si>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</si>
  <si>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</si>
  <si>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</si>
  <si>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</si>
  <si>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</si>
  <si>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</si>
  <si>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</si>
  <si>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</si>
  <si>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</si>
  <si>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</si>
  <si>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</si>
  <si>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</si>
  <si>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</si>
  <si>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</si>
  <si>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</si>
  <si>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</si>
  <si>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</si>
  <si>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</si>
  <si>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</si>
  <si>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</si>
  <si>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</si>
  <si>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</si>
  <si>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</si>
  <si>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</si>
  <si>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</si>
  <si>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</si>
  <si>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</si>
  <si>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</si>
  <si>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</si>
  <si>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</si>
  <si>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</si>
  <si>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</si>
  <si>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</si>
  <si>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</si>
  <si>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</si>
  <si>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</si>
  <si>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</si>
  <si>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</si>
  <si>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</si>
  <si>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</si>
  <si>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</si>
  <si>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</si>
  <si>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</si>
  <si>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</si>
  <si>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</si>
  <si>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</si>
  <si>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</si>
  <si>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</si>
  <si>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</si>
  <si>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</si>
  <si>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</si>
  <si>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</si>
  <si>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</si>
  <si>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</si>
  <si>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</si>
  <si>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</si>
  <si>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</si>
  <si>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</si>
  <si>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</si>
  <si>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</si>
  <si>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</si>
  <si>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</si>
  <si>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</si>
  <si>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</si>
  <si>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</si>
  <si>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</si>
  <si>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</si>
  <si>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</si>
  <si>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</si>
  <si>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</si>
  <si>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</si>
  <si>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</si>
  <si>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</si>
  <si>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</si>
  <si>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</si>
  <si>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</si>
  <si>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</si>
  <si>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</si>
  <si>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</si>
  <si>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</si>
  <si>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</si>
  <si>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</si>
  <si>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</si>
  <si>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</si>
  <si>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</si>
  <si>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</si>
  <si>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</si>
  <si>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</si>
  <si>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</si>
  <si>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</si>
  <si>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</si>
  <si>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</si>
  <si>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</si>
  <si>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</si>
  <si>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</si>
  <si>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</si>
  <si>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</si>
  <si>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</si>
  <si>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</si>
  <si>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</si>
  <si>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</si>
  <si>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</si>
  <si>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</si>
  <si>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</si>
  <si>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</si>
  <si>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</si>
  <si>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</si>
  <si>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</si>
  <si>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</si>
  <si>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</si>
  <si>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</si>
  <si>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</si>
  <si>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</si>
  <si>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</si>
  <si>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</si>
  <si>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</si>
  <si>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</si>
  <si>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</si>
  <si>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</si>
  <si>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</si>
  <si>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</si>
  <si>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</si>
  <si>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</si>
  <si>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</si>
  <si>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</si>
  <si>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</si>
  <si>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</si>
  <si>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</si>
  <si>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</si>
  <si>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</si>
  <si>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</si>
  <si>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</si>
  <si>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</si>
  <si>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</si>
  <si>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</si>
  <si>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</si>
  <si>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</si>
  <si>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</si>
  <si>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</si>
  <si>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</si>
  <si>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</si>
  <si>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</si>
  <si>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</si>
  <si>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</si>
  <si>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</si>
  <si>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</si>
  <si>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</si>
  <si>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</si>
  <si>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</si>
  <si>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</si>
  <si>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</si>
  <si>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</si>
  <si>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</si>
  <si>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</si>
  <si>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</si>
  <si>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</si>
  <si>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</si>
  <si>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</si>
  <si>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</si>
  <si>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</si>
  <si>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</si>
  <si>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</si>
  <si>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</si>
  <si>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</si>
  <si>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</si>
  <si>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</si>
  <si>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</si>
  <si>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</si>
  <si>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</si>
  <si>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</si>
  <si>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</si>
  <si>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</si>
  <si>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</si>
  <si>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</si>
  <si>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</si>
  <si>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</si>
  <si>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</si>
  <si>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</si>
  <si>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</si>
  <si>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</si>
  <si>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</si>
  <si>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</si>
  <si>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</si>
  <si>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</si>
  <si>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</si>
  <si>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</si>
  <si>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</si>
  <si>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</si>
  <si>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</si>
  <si>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</si>
  <si>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</si>
  <si>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</si>
  <si>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</si>
  <si>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</si>
  <si>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</si>
  <si>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</si>
  <si>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</si>
  <si>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</si>
  <si>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</si>
  <si>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</si>
  <si>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</si>
  <si>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</si>
  <si>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</si>
  <si>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</si>
  <si>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</si>
  <si>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</si>
  <si>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</si>
  <si>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</si>
  <si>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</si>
  <si>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</si>
  <si>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</si>
  <si>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</si>
  <si>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</si>
  <si>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</si>
  <si>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</si>
  <si>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</si>
  <si>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</si>
  <si>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</si>
  <si>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</si>
  <si>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</si>
  <si>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</si>
  <si>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</si>
  <si>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</si>
  <si>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</si>
  <si>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</si>
  <si>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</si>
  <si>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</si>
  <si>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</si>
  <si>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</si>
  <si>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</si>
  <si>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</si>
  <si>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</si>
  <si>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</si>
  <si>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</si>
  <si>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</si>
  <si>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</si>
  <si>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</si>
  <si>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</si>
  <si>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</si>
  <si>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</si>
  <si>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</si>
  <si>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</si>
  <si>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</si>
  <si>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</si>
  <si>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</si>
  <si>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</si>
  <si>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</si>
  <si>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</si>
  <si>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</si>
  <si>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</si>
  <si>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</si>
  <si>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</si>
  <si>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</si>
  <si>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</si>
  <si>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</si>
  <si>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</si>
  <si>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</si>
  <si>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</si>
  <si>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</si>
  <si>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</si>
  <si>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</si>
  <si>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</si>
  <si>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</si>
  <si>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</si>
  <si>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</si>
  <si>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</si>
  <si>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</si>
  <si>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</si>
  <si>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</si>
  <si>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</si>
  <si>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</si>
  <si>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</si>
  <si>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</si>
  <si>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</si>
  <si>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</si>
  <si>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</si>
  <si>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</si>
  <si>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</si>
  <si>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</si>
  <si>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</si>
  <si>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</si>
  <si>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</si>
  <si>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</si>
  <si>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</si>
  <si>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</si>
  <si>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</si>
  <si>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</si>
  <si>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</si>
  <si>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</si>
  <si>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</si>
  <si>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</si>
  <si>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</si>
  <si>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</si>
  <si>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</si>
  <si>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</si>
  <si>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</si>
  <si>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</si>
  <si>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</si>
  <si>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</si>
  <si>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</si>
  <si>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</si>
  <si>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</si>
  <si>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</si>
  <si>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</si>
  <si>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</si>
  <si>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</si>
  <si>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</si>
  <si>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</si>
  <si>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</si>
  <si>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</si>
  <si>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</si>
  <si>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</si>
  <si>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</si>
  <si>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</si>
  <si>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</si>
  <si>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</si>
  <si>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</si>
  <si>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</si>
  <si>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</si>
  <si>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</si>
  <si>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</si>
  <si>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</si>
  <si>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</si>
  <si>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</si>
  <si>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</si>
  <si>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</si>
  <si>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</si>
  <si>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</si>
  <si>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</si>
  <si>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</si>
  <si>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</si>
  <si>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</si>
  <si>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</si>
  <si>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</si>
  <si>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</si>
  <si>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</si>
  <si>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</si>
  <si>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</si>
  <si>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</si>
  <si>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</si>
  <si>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</si>
  <si>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</si>
  <si>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</si>
  <si>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</si>
  <si>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</si>
  <si>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</si>
  <si>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</si>
  <si>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</si>
  <si>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</si>
  <si>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</si>
  <si>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</si>
  <si>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</si>
  <si>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</si>
  <si>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</si>
  <si>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</si>
  <si>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</si>
  <si>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</si>
  <si>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</si>
  <si>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</si>
  <si>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</si>
  <si>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</si>
  <si>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</si>
  <si>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</si>
  <si>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</si>
  <si>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</si>
  <si>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</si>
  <si>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</si>
  <si>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</si>
  <si>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</si>
  <si>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</si>
  <si>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</si>
  <si>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</si>
  <si>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</si>
  <si>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</si>
  <si>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</si>
  <si>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</si>
  <si>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</si>
  <si>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</si>
  <si>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</si>
  <si>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</si>
  <si>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</si>
  <si>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</si>
  <si>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</si>
  <si>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</si>
  <si>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</si>
  <si>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</si>
  <si>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</si>
  <si>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</si>
  <si>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</si>
  <si>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</si>
  <si>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</si>
  <si>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</si>
  <si>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</si>
  <si>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</si>
  <si>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</si>
  <si>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</si>
  <si>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</si>
  <si>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</si>
  <si>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</si>
  <si>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</si>
  <si>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</si>
  <si>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</si>
  <si>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</si>
  <si>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</si>
  <si>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</si>
  <si>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</si>
  <si>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</si>
  <si>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</si>
  <si>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</si>
  <si>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</si>
  <si>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</si>
  <si>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</si>
  <si>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</si>
  <si>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</si>
  <si>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</si>
  <si>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</si>
  <si>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</si>
  <si>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</si>
  <si>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</si>
  <si>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</si>
  <si>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</si>
  <si>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</si>
  <si>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</si>
  <si>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</si>
  <si>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</si>
  <si>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</si>
  <si>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</si>
  <si>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</si>
  <si>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</si>
  <si>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</si>
  <si>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</si>
  <si>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</si>
  <si>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</si>
  <si>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</si>
  <si>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</si>
  <si>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</si>
  <si>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</si>
  <si>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</si>
  <si>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</si>
  <si>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</si>
  <si>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</si>
  <si>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</si>
  <si>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</si>
  <si>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</si>
  <si>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</si>
  <si>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</si>
  <si>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</si>
  <si>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</si>
  <si>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</si>
  <si>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</si>
  <si>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</si>
  <si>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</si>
  <si>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</si>
  <si>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</si>
  <si>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</si>
  <si>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</si>
  <si>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</si>
  <si>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</si>
  <si>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</si>
  <si>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</si>
  <si>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</si>
  <si>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</si>
  <si>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</si>
  <si>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</si>
  <si>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</si>
  <si>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</si>
  <si>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</si>
  <si>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</si>
  <si>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</si>
  <si>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</si>
  <si>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</si>
  <si>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</si>
  <si>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</si>
  <si>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</si>
  <si>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</si>
  <si>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</si>
  <si>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</si>
  <si>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</si>
  <si>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</si>
  <si>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</si>
  <si>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</si>
  <si>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</si>
  <si>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</si>
  <si>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</si>
  <si>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</si>
  <si>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</si>
  <si>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</si>
  <si>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</si>
  <si>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</si>
  <si>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</si>
  <si>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</si>
  <si>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</si>
  <si>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</si>
  <si>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</si>
  <si>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</si>
  <si>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</si>
  <si>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</si>
  <si>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</si>
  <si>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</si>
  <si>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</si>
  <si>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</si>
  <si>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</si>
  <si>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</si>
  <si>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</si>
  <si>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</si>
  <si>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</si>
  <si>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</si>
  <si>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</si>
  <si>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</si>
  <si>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</si>
  <si>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</si>
  <si>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</si>
  <si>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</si>
  <si>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</si>
  <si>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</si>
  <si>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</si>
  <si>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</si>
  <si>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</si>
  <si>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</si>
  <si>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</si>
  <si>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</si>
  <si>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</si>
  <si>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</si>
  <si>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</si>
  <si>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</si>
  <si>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</si>
  <si>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</si>
  <si>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</si>
  <si>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</si>
  <si>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</si>
  <si>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</si>
  <si>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</si>
  <si>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</si>
  <si>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</si>
  <si>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</si>
  <si>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</si>
  <si>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</si>
  <si>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</si>
  <si>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</si>
  <si>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</si>
  <si>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</si>
  <si>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</si>
  <si>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</si>
  <si>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</si>
  <si>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</si>
  <si>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</si>
  <si>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</si>
  <si>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</si>
  <si>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</si>
  <si>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</si>
  <si>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</si>
  <si>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</si>
  <si>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</si>
  <si>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</si>
  <si>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</si>
  <si>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</si>
  <si>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</si>
  <si>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</si>
  <si>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</si>
  <si>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</si>
  <si>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</si>
  <si>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</si>
  <si>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</si>
  <si>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</si>
  <si>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</si>
  <si>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</si>
  <si>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</si>
  <si>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</si>
  <si>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</si>
  <si>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</si>
  <si>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</si>
  <si>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</si>
  <si>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</si>
  <si>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</si>
  <si>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</si>
  <si>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</si>
  <si>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</si>
  <si>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</si>
  <si>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</si>
  <si>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</si>
  <si>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</si>
  <si>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</si>
  <si>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</si>
  <si>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</si>
  <si>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</si>
  <si>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</si>
  <si>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</si>
  <si>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</si>
  <si>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</si>
  <si>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</si>
  <si>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</si>
  <si>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</si>
  <si>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</si>
  <si>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</si>
  <si>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</si>
  <si>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</si>
  <si>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</si>
  <si>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</si>
  <si>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</si>
  <si>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</si>
  <si>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</si>
  <si>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</si>
  <si>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</si>
  <si>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</si>
  <si>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</si>
  <si>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</si>
  <si>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</si>
  <si>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</si>
  <si>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</si>
  <si>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</si>
  <si>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</si>
  <si>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</si>
  <si>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</si>
  <si>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</si>
  <si>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</si>
  <si>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</si>
  <si>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</si>
  <si>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</si>
  <si>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</si>
  <si>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</si>
  <si>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</si>
  <si>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</si>
  <si>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</si>
  <si>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</si>
  <si>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</si>
  <si>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</si>
  <si>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</si>
  <si>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</si>
  <si>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</si>
  <si>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</si>
  <si>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</si>
  <si>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</si>
  <si>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</si>
  <si>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</si>
  <si>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</si>
  <si>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</si>
  <si>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</si>
  <si>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</si>
  <si>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</si>
  <si>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</si>
  <si>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</si>
  <si>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</si>
  <si>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</si>
  <si>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</si>
  <si>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</si>
  <si>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</si>
  <si>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</si>
  <si>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</si>
  <si>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</si>
  <si>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</si>
  <si>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</si>
  <si>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</si>
  <si>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</si>
  <si>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</si>
  <si>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</si>
  <si>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</si>
  <si>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</si>
  <si>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</si>
  <si>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</si>
  <si>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</si>
  <si>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</si>
  <si>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</si>
  <si>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</si>
  <si>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</si>
  <si>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</si>
  <si>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</si>
  <si>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</si>
  <si>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</si>
  <si>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</si>
  <si>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</si>
  <si>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</si>
  <si>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</si>
  <si>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</si>
  <si>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</si>
  <si>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</si>
  <si>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</si>
  <si>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</si>
  <si>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</si>
  <si>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</si>
  <si>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</si>
  <si>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</si>
  <si>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</si>
  <si>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</si>
  <si>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</si>
  <si>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</si>
  <si>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</si>
  <si>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</si>
  <si>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</si>
  <si>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</si>
  <si>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</si>
  <si>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</si>
  <si>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</si>
  <si>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</si>
  <si>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</si>
  <si>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</si>
  <si>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</si>
  <si>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</si>
  <si>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</si>
  <si>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</si>
  <si>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</si>
  <si>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</si>
  <si>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</si>
  <si>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</si>
  <si>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</si>
  <si>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</si>
  <si>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</si>
  <si>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</si>
  <si>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</si>
  <si>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</si>
  <si>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</si>
  <si>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</si>
  <si>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</si>
  <si>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</si>
  <si>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</si>
  <si>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</si>
  <si>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</si>
  <si>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</si>
  <si>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</si>
  <si>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</si>
  <si>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</si>
  <si>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</si>
  <si>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</si>
  <si>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</si>
  <si>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</si>
  <si>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</si>
  <si>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</si>
  <si>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</si>
  <si>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</si>
  <si>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</si>
  <si>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</si>
  <si>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</si>
  <si>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</si>
  <si>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</si>
  <si>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</si>
  <si>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</si>
  <si>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</si>
  <si>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</si>
  <si>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</si>
  <si>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</si>
  <si>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</si>
  <si>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</si>
  <si>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</si>
  <si>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</si>
  <si>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</si>
  <si>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</si>
  <si>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</si>
  <si>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</si>
  <si>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</si>
  <si>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</si>
  <si>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</si>
  <si>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</si>
  <si>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</si>
  <si>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</si>
  <si>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</si>
  <si>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</si>
  <si>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</si>
  <si>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</si>
  <si>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</si>
  <si>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</si>
  <si>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</si>
  <si>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</si>
  <si>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</si>
  <si>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</si>
  <si>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</si>
  <si>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</si>
  <si>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</si>
  <si>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</si>
  <si>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</si>
  <si>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</si>
  <si>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</si>
  <si>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</si>
  <si>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</si>
  <si>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</si>
  <si>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</si>
  <si>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</si>
  <si>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</si>
  <si>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</si>
  <si>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</si>
  <si>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</si>
  <si>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</si>
  <si>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</si>
  <si>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</si>
  <si>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</si>
  <si>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</si>
  <si>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</si>
  <si>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</si>
  <si>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</si>
  <si>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</si>
  <si>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</si>
  <si>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</si>
  <si>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</si>
  <si>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</si>
  <si>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</si>
  <si>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</si>
  <si>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</si>
  <si>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</si>
  <si>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</si>
  <si>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</si>
  <si>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</si>
  <si>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</si>
  <si>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</si>
  <si>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</si>
  <si>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</si>
  <si>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</si>
  <si>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</si>
  <si>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</si>
  <si>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</si>
  <si>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</si>
  <si>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</si>
  <si>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</si>
  <si>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</si>
  <si>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</si>
  <si>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</si>
  <si>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</si>
  <si>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</si>
  <si>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</si>
  <si>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</si>
  <si>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</si>
  <si>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</si>
  <si>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</si>
  <si>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</si>
  <si>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</si>
  <si>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</si>
  <si>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</si>
  <si>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</si>
  <si>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</si>
  <si>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</si>
  <si>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</si>
  <si>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</si>
  <si>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</si>
  <si>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</si>
  <si>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</si>
  <si>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</si>
  <si>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</si>
  <si>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</si>
  <si>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</si>
  <si>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</si>
  <si>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</si>
  <si>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</si>
  <si>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</si>
  <si>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</si>
  <si>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</si>
  <si>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</si>
  <si>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</si>
  <si>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</si>
  <si>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</si>
  <si>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</si>
  <si>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</si>
  <si>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</si>
  <si>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</si>
  <si>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</si>
  <si>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</si>
  <si>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</si>
  <si>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</si>
  <si>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</si>
  <si>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</si>
  <si>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</si>
  <si>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</si>
  <si>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</si>
  <si>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</si>
  <si>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</si>
  <si>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</si>
  <si>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</si>
  <si>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</si>
  <si>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</si>
  <si>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</si>
  <si>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</si>
  <si>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</si>
  <si>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</si>
  <si>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</si>
  <si>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</si>
  <si>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</si>
  <si>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</si>
  <si>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</si>
  <si>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</si>
  <si>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</si>
  <si>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</si>
  <si>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</si>
  <si>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</si>
  <si>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</si>
  <si>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</si>
  <si>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</si>
  <si>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</si>
  <si>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</si>
  <si>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</si>
  <si>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</si>
  <si>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</si>
  <si>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</si>
  <si>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</si>
  <si>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</si>
  <si>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</si>
  <si>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</si>
  <si>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</si>
  <si>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</si>
  <si>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</si>
  <si>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</si>
  <si>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</si>
  <si>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</si>
  <si>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</si>
  <si>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</si>
  <si>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</si>
  <si>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</si>
  <si>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</si>
  <si>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</si>
  <si>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</si>
  <si>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</si>
  <si>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</si>
  <si>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</si>
  <si>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</si>
  <si>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</si>
  <si>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</si>
  <si>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</si>
  <si>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</si>
  <si>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</si>
  <si>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</si>
  <si>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</si>
  <si>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</si>
  <si>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</si>
  <si>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</si>
  <si>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</si>
  <si>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</si>
  <si>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</si>
  <si>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</si>
  <si>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</si>
  <si>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</si>
  <si>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</si>
  <si>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</si>
  <si>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</si>
  <si>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</si>
  <si>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</si>
  <si>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</si>
  <si>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</si>
  <si>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</si>
  <si>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</si>
  <si>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</si>
  <si>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</si>
  <si>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</si>
  <si>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</si>
  <si>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</si>
  <si>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</si>
  <si>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</si>
  <si>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</si>
  <si>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</si>
  <si>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</si>
  <si>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</si>
  <si>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</si>
  <si>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</si>
  <si>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</si>
  <si>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</si>
  <si>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</si>
  <si>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</si>
  <si>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</si>
  <si>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</si>
  <si>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</si>
  <si>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</si>
  <si>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</si>
  <si>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</si>
  <si>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</si>
  <si>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</si>
  <si>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</si>
  <si>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</si>
  <si>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</si>
  <si>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</si>
  <si>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</si>
  <si>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</si>
  <si>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</si>
  <si>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</si>
  <si>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</si>
  <si>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</si>
  <si>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</si>
  <si>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</si>
  <si>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</si>
  <si>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</si>
  <si>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</si>
  <si>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</si>
  <si>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</si>
  <si>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</si>
  <si>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</si>
  <si>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</si>
  <si>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</si>
  <si>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</si>
  <si>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</si>
  <si>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</si>
  <si>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</si>
  <si>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</si>
  <si>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</si>
  <si>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</si>
  <si>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</si>
  <si>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</si>
  <si>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</si>
  <si>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</si>
  <si>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</si>
  <si>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</si>
  <si>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</si>
  <si>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</si>
  <si>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</si>
  <si>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</si>
  <si>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</si>
  <si>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</si>
  <si>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</si>
  <si>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</si>
  <si>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</si>
  <si>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</si>
  <si>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</si>
  <si>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</si>
  <si>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</si>
  <si>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</si>
  <si>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</si>
  <si>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</si>
  <si>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</si>
  <si>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</si>
  <si>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</si>
  <si>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</si>
  <si>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</si>
  <si>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</si>
  <si>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</si>
  <si>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</si>
  <si>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</si>
  <si>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</si>
  <si>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</si>
  <si>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</si>
  <si>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</si>
  <si>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</si>
  <si>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</si>
  <si>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</si>
  <si>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</si>
  <si>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</si>
  <si>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</si>
  <si>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</si>
  <si>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</si>
  <si>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</si>
  <si>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</si>
  <si>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</si>
  <si>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</si>
  <si>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</si>
  <si>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</si>
  <si>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</si>
  <si>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</si>
  <si>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</si>
  <si>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</si>
  <si>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</si>
  <si>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</si>
  <si>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</si>
  <si>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</si>
  <si>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</si>
  <si>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</si>
  <si>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</si>
  <si>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</si>
  <si>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</si>
  <si>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</si>
  <si>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</si>
  <si>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</si>
  <si>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</si>
  <si>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</si>
  <si>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</si>
  <si>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</si>
  <si>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</si>
  <si>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</si>
  <si>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</si>
  <si>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</si>
  <si>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</si>
  <si>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</si>
  <si>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</si>
  <si>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</si>
  <si>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</si>
  <si>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</si>
  <si>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</si>
  <si>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</si>
  <si>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</si>
  <si>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</si>
  <si>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</si>
  <si>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</si>
  <si>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</si>
  <si>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</si>
  <si>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</si>
  <si>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</si>
  <si>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</si>
  <si>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</si>
  <si>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</si>
  <si>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</si>
  <si>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</si>
  <si>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</si>
  <si>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</si>
  <si>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</si>
  <si>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</si>
  <si>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</si>
  <si>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</si>
  <si>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</si>
  <si>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</si>
  <si>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</si>
  <si>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</si>
  <si>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</si>
  <si>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</si>
  <si>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</si>
  <si>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</si>
  <si>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</si>
  <si>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</si>
  <si>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</si>
  <si>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</si>
  <si>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</si>
  <si>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</si>
  <si>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</si>
  <si>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</si>
  <si>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</si>
  <si>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</si>
  <si>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</si>
  <si>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</si>
  <si>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</si>
  <si>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</si>
  <si>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</si>
  <si>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</si>
  <si>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</si>
  <si>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</si>
  <si>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</si>
  <si>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</si>
  <si>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</si>
  <si>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</si>
  <si>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</si>
  <si>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</si>
  <si>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</si>
  <si>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</si>
  <si>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</si>
  <si>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</si>
  <si>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</si>
  <si>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</si>
  <si>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</si>
  <si>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</si>
  <si>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</si>
  <si>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</si>
  <si>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</si>
  <si>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</si>
  <si>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</si>
  <si>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</si>
  <si>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</si>
  <si>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</si>
  <si>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</si>
  <si>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</si>
  <si>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</si>
  <si>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</si>
  <si>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</si>
  <si>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</si>
  <si>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</si>
  <si>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</si>
  <si>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</si>
  <si>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</si>
  <si>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</si>
  <si>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</si>
  <si>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</si>
  <si>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</si>
  <si>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</si>
  <si>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</si>
  <si>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</si>
  <si>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</si>
  <si>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</si>
  <si>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</si>
  <si>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</si>
  <si>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</si>
  <si>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</si>
  <si>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</si>
  <si>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</si>
  <si>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</si>
  <si>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</si>
  <si>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</si>
  <si>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</si>
  <si>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</si>
  <si>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</si>
  <si>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</si>
  <si>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</si>
  <si>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</si>
  <si>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</si>
  <si>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</si>
  <si>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</si>
  <si>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</si>
  <si>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</si>
  <si>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</si>
  <si>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</si>
  <si>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</si>
  <si>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</si>
  <si>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</si>
  <si>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</si>
  <si>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</si>
  <si>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</si>
  <si>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</si>
  <si>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</si>
  <si>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</si>
  <si>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</si>
  <si>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</si>
  <si>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</si>
  <si>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</si>
  <si>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</si>
  <si>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</si>
  <si>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</si>
  <si>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</si>
  <si>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</si>
  <si>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</si>
  <si>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</si>
  <si>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</si>
  <si>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</si>
  <si>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</si>
  <si>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</si>
  <si>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</si>
  <si>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</si>
  <si>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</si>
  <si>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</si>
  <si>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</si>
  <si>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</si>
  <si>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</si>
  <si>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</si>
  <si>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</si>
  <si>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</si>
  <si>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</si>
  <si>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</si>
  <si>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</si>
  <si>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</si>
  <si>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</si>
  <si>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</si>
  <si>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</si>
  <si>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</si>
  <si>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</si>
  <si>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</si>
  <si>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</si>
  <si>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</si>
  <si>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</si>
  <si>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</si>
  <si>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</si>
  <si>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</si>
  <si>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</si>
  <si>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</si>
  <si>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</si>
  <si>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</si>
  <si>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</si>
  <si>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</si>
  <si>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</si>
  <si>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</si>
  <si>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</si>
  <si>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</si>
  <si>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</si>
  <si>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</si>
  <si>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</si>
  <si>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</si>
  <si>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</si>
  <si>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</si>
  <si>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</si>
  <si>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</si>
  <si>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</si>
  <si>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</si>
  <si>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</si>
  <si>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</si>
  <si>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</si>
  <si>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</si>
  <si>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</si>
  <si>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</si>
  <si>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</si>
  <si>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</si>
  <si>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</si>
  <si>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</si>
  <si>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</si>
  <si>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</si>
  <si>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</si>
  <si>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</si>
  <si>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</si>
  <si>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</si>
  <si>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</si>
  <si>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</si>
  <si>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</si>
  <si>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</si>
  <si>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</si>
  <si>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</si>
  <si>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</si>
  <si>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</si>
  <si>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</si>
  <si>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</si>
  <si>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</si>
  <si>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</si>
  <si>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</si>
  <si>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</si>
  <si>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</si>
  <si>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</si>
  <si>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</si>
  <si>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</si>
  <si>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</si>
  <si>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</si>
  <si>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</si>
  <si>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</si>
  <si>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</si>
  <si>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</si>
  <si>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</si>
  <si>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</si>
  <si>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</si>
  <si>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</si>
  <si>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</si>
  <si>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</si>
  <si>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</si>
  <si>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</si>
  <si>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</si>
  <si>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</si>
  <si>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</si>
  <si>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</si>
  <si>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</si>
  <si>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</si>
  <si>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</si>
  <si>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</si>
  <si>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</si>
  <si>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</si>
  <si>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</si>
  <si>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</si>
  <si>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</si>
  <si>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</si>
  <si>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</si>
  <si>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</si>
  <si>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</si>
  <si>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</si>
  <si>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</si>
  <si>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</si>
  <si>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</si>
  <si>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</si>
  <si>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</si>
  <si>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</si>
  <si>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</si>
  <si>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</si>
  <si>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</si>
  <si>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</si>
  <si>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</si>
  <si>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</si>
  <si>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</si>
  <si>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</si>
  <si>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</si>
  <si>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</si>
  <si>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</si>
  <si>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</si>
  <si>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</si>
  <si>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</si>
  <si>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</si>
  <si>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</si>
  <si>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</si>
  <si>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</si>
  <si>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</si>
  <si>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</si>
  <si>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</si>
  <si>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</si>
  <si>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</si>
  <si>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</si>
  <si>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</si>
  <si>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</si>
  <si>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</si>
  <si>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</si>
  <si>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</si>
  <si>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</si>
  <si>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</si>
  <si>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</si>
  <si>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</si>
  <si>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</si>
  <si>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</si>
  <si>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</si>
  <si>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</si>
  <si>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</si>
  <si>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</si>
  <si>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</si>
  <si>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</si>
  <si>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</si>
  <si>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</si>
  <si>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</si>
  <si>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</si>
  <si>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</si>
  <si>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</si>
  <si>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</si>
  <si>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</si>
  <si>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</si>
  <si>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</si>
  <si>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</si>
  <si>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</si>
  <si>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</si>
  <si>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</si>
  <si>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</si>
  <si>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</si>
  <si>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</si>
  <si>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</si>
  <si>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</si>
  <si>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</si>
  <si>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</si>
  <si>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</si>
  <si>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</si>
  <si>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</si>
  <si>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</si>
  <si>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</si>
  <si>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</si>
  <si>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</si>
  <si>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</si>
  <si>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</si>
  <si>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</si>
  <si>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</si>
  <si>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</si>
  <si>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</si>
  <si>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</si>
  <si>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</si>
  <si>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</si>
  <si>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</si>
  <si>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</si>
  <si>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</si>
  <si>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</si>
  <si>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</si>
  <si>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</si>
  <si>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</si>
  <si>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</si>
  <si>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</si>
  <si>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</si>
  <si>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</si>
  <si>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</si>
  <si>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</si>
  <si>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</si>
  <si>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</si>
  <si>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</si>
  <si>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</si>
  <si>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</si>
  <si>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</si>
  <si>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</si>
  <si>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</si>
  <si>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</si>
  <si>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</si>
  <si>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</si>
  <si>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</si>
  <si>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</si>
  <si>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</si>
  <si>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</si>
  <si>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</si>
  <si>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</si>
  <si>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</si>
  <si>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</si>
  <si>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</si>
  <si>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</si>
  <si>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</si>
  <si>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</si>
  <si>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</si>
  <si>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</si>
  <si>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</si>
  <si>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</si>
  <si>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</si>
  <si>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</si>
  <si>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</si>
  <si>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</si>
  <si>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</si>
  <si>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</si>
  <si>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</si>
  <si>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</si>
  <si>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</si>
  <si>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</si>
  <si>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</si>
  <si>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</si>
  <si>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</si>
  <si>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</si>
  <si>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</si>
  <si>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</si>
  <si>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</si>
  <si>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</si>
  <si>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</si>
  <si>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</si>
  <si>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</si>
  <si>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</si>
  <si>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</si>
  <si>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</si>
  <si>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</si>
  <si>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</si>
  <si>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</si>
  <si>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</si>
  <si>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</si>
  <si>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</si>
  <si>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</si>
  <si>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</si>
  <si>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</si>
  <si>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</si>
  <si>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</si>
  <si>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</si>
  <si>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</si>
  <si>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</si>
  <si>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</si>
  <si>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</si>
  <si>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</si>
  <si>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</si>
  <si>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</si>
  <si>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</si>
  <si>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</si>
  <si>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</si>
  <si>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</si>
  <si>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</si>
  <si>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</si>
  <si>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</si>
  <si>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</si>
  <si>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</si>
  <si>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</si>
  <si>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</si>
  <si>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</si>
  <si>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</si>
  <si>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</si>
  <si>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</si>
  <si>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</si>
  <si>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</si>
  <si>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</si>
  <si>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</si>
  <si>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</si>
  <si>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</si>
  <si>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</si>
  <si>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</si>
  <si>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</si>
  <si>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</si>
  <si>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</si>
  <si>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</si>
  <si>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</si>
  <si>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</si>
  <si>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</si>
  <si>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</si>
  <si>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</si>
  <si>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</si>
  <si>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</si>
  <si>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</si>
  <si>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</si>
  <si>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</si>
  <si>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</si>
  <si>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</si>
  <si>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</si>
  <si>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</si>
  <si>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</si>
  <si>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</si>
  <si>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</si>
  <si>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</si>
  <si>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</si>
  <si>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</si>
  <si>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</si>
  <si>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</si>
  <si>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</si>
  <si>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</si>
  <si>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</si>
  <si>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</si>
  <si>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</si>
  <si>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</si>
  <si>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</si>
  <si>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</si>
  <si>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</si>
  <si>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</si>
  <si>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</si>
  <si>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</si>
  <si>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</si>
  <si>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</si>
  <si>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</si>
  <si>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</si>
  <si>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</si>
  <si>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</si>
  <si>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</si>
  <si>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</si>
  <si>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</si>
  <si>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</si>
  <si>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</si>
  <si>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</si>
  <si>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</si>
  <si>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</si>
  <si>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</si>
  <si>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</si>
  <si>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</si>
  <si>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</si>
  <si>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</si>
  <si>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</si>
  <si>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</si>
  <si>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</si>
  <si>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</si>
  <si>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</si>
  <si>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</si>
  <si>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</si>
  <si>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</si>
  <si>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</si>
  <si>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</si>
  <si>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</si>
  <si>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</si>
  <si>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</si>
  <si>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</si>
  <si>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</si>
  <si>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</si>
  <si>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</si>
  <si>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</si>
  <si>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</si>
  <si>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</si>
  <si>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</si>
  <si>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</si>
  <si>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</si>
  <si>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</si>
  <si>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</si>
  <si>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</si>
  <si>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</si>
  <si>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</si>
  <si>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</si>
  <si>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</si>
  <si>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</si>
  <si>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</si>
  <si>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</si>
  <si>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</si>
  <si>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</si>
  <si>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</si>
  <si>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</si>
  <si>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</si>
  <si>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</si>
  <si>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</si>
  <si>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</si>
  <si>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</si>
  <si>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</si>
  <si>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</si>
  <si>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</si>
  <si>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</si>
  <si>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</si>
  <si>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</si>
  <si>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</si>
  <si>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</si>
  <si>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</si>
  <si>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</si>
  <si>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</si>
  <si>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</si>
  <si>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</si>
  <si>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</si>
  <si>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</si>
  <si>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</si>
  <si>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</si>
  <si>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</si>
  <si>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</si>
  <si>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</si>
  <si>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</si>
  <si>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</si>
  <si>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</si>
  <si>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</si>
  <si>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</si>
  <si>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</si>
  <si>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</si>
  <si>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</si>
  <si>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</si>
  <si>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</si>
  <si>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</si>
  <si>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</si>
  <si>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</si>
  <si>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</si>
  <si>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</si>
  <si>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</si>
  <si>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</si>
  <si>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</si>
  <si>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</si>
  <si>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</si>
  <si>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</si>
  <si>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</si>
  <si>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</si>
  <si>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</si>
  <si>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</si>
  <si>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</si>
  <si>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</si>
  <si>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</si>
  <si>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</si>
  <si>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</si>
  <si>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</si>
  <si>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</si>
  <si>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</si>
  <si>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</si>
  <si>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</si>
  <si>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</si>
  <si>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</si>
  <si>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</si>
  <si>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</si>
  <si>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</si>
  <si>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</si>
  <si>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</si>
  <si>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</si>
  <si>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</si>
  <si>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</si>
  <si>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</si>
  <si>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</si>
  <si>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</si>
  <si>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</si>
  <si>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</si>
  <si>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</si>
  <si>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</si>
  <si>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</si>
  <si>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</si>
  <si>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</si>
  <si>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</si>
  <si>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</si>
  <si>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</si>
  <si>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</si>
  <si>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</si>
  <si>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</si>
  <si>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</si>
  <si>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</si>
  <si>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</si>
  <si>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</si>
  <si>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</si>
  <si>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</si>
  <si>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</si>
  <si>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</si>
  <si>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</si>
  <si>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</si>
  <si>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</si>
  <si>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</si>
  <si>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</si>
  <si>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</si>
  <si>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</si>
  <si>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</si>
  <si>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</si>
  <si>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</si>
  <si>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</si>
  <si>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</si>
  <si>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</si>
  <si>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</si>
  <si>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</si>
  <si>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</si>
  <si>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</si>
  <si>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</si>
  <si>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</si>
  <si>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</si>
  <si>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</si>
  <si>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</si>
  <si>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</si>
  <si>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</si>
  <si>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</si>
  <si>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</si>
  <si>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</si>
  <si>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</si>
  <si>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</si>
  <si>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</si>
  <si>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</si>
  <si>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</si>
  <si>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</si>
  <si>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</si>
  <si>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</si>
  <si>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</si>
  <si>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</si>
  <si>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</si>
  <si>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</si>
  <si>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</si>
  <si>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</si>
  <si>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</si>
  <si>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</si>
  <si>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</si>
  <si>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</si>
  <si>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</si>
  <si>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</si>
  <si>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</si>
  <si>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</si>
  <si>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</si>
  <si>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</si>
  <si>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</si>
  <si>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</si>
  <si>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</si>
  <si>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</si>
  <si>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</si>
  <si>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</si>
  <si>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</si>
  <si>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</si>
  <si>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</si>
  <si>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</si>
  <si>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</si>
  <si>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</si>
  <si>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</si>
  <si>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</si>
  <si>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</si>
  <si>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</si>
  <si>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</si>
  <si>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</si>
  <si>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</si>
  <si>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</si>
  <si>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</si>
  <si>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</si>
  <si>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</si>
  <si>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</si>
  <si>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</si>
  <si>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</si>
  <si>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</si>
  <si>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</si>
  <si>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</si>
  <si>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</si>
  <si>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</si>
  <si>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</si>
  <si>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</si>
  <si>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</si>
  <si>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</si>
  <si>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</si>
  <si>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</si>
  <si>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</si>
  <si>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</si>
  <si>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</si>
  <si>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</si>
  <si>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</si>
  <si>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</si>
  <si>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</si>
  <si>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</si>
  <si>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</si>
  <si>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</si>
  <si>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</si>
  <si>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</si>
  <si>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</si>
  <si>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</si>
  <si>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</si>
  <si>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</si>
  <si>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</si>
  <si>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</si>
  <si>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</si>
  <si>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</si>
  <si>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</si>
  <si>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</si>
  <si>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</si>
  <si>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</si>
  <si>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</si>
  <si>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</si>
  <si>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</si>
  <si>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</si>
  <si>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</si>
  <si>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</si>
  <si>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</si>
  <si>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</si>
  <si>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</si>
  <si>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</si>
  <si>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</si>
  <si>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</si>
  <si>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</si>
  <si>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</si>
  <si>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</si>
  <si>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</si>
  <si>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</si>
  <si>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</si>
  <si>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</si>
  <si>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</si>
  <si>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</si>
  <si>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</si>
  <si>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</si>
  <si>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</si>
  <si>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</si>
  <si>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</si>
  <si>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</si>
  <si>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</si>
  <si>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</si>
  <si>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</si>
  <si>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</si>
  <si>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</si>
  <si>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</si>
  <si>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</si>
  <si>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</si>
  <si>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</si>
  <si>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</si>
  <si>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</si>
  <si>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</si>
  <si>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</si>
  <si>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</si>
  <si>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</si>
  <si>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</si>
  <si>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</si>
  <si>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</si>
  <si>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</si>
  <si>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</si>
  <si>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</si>
  <si>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</si>
  <si>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</si>
  <si>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</si>
  <si>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</si>
  <si>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</si>
  <si>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</si>
  <si>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</si>
  <si>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</si>
  <si>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</si>
  <si>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</si>
  <si>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</si>
  <si>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</si>
  <si>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</si>
  <si>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</si>
  <si>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</si>
  <si>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</si>
  <si>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</si>
  <si>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</si>
  <si>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</si>
  <si>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</si>
  <si>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</si>
  <si>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</si>
  <si>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</si>
  <si>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</si>
  <si>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</si>
  <si>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</si>
  <si>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</si>
  <si>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</si>
  <si>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</si>
  <si>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</si>
  <si>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</si>
  <si>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</si>
  <si>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</si>
  <si>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</si>
  <si>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</si>
  <si>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</si>
  <si>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</si>
  <si>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</si>
  <si>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</si>
  <si>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</si>
  <si>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</si>
  <si>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</si>
  <si>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</si>
  <si>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</si>
  <si>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</si>
  <si>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</si>
  <si>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</si>
  <si>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</si>
  <si>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</si>
  <si>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</si>
  <si>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</si>
  <si>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</si>
  <si>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</si>
  <si>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</si>
  <si>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</si>
  <si>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</si>
  <si>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</si>
  <si>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</si>
  <si>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</si>
  <si>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</si>
  <si>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</si>
  <si>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</si>
  <si>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</si>
  <si>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</si>
  <si>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</si>
  <si>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</si>
  <si>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</si>
  <si>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</si>
  <si>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</si>
  <si>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</si>
  <si>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</si>
  <si>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</si>
  <si>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</si>
  <si>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</si>
  <si>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</si>
  <si>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</si>
  <si>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</si>
  <si>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</si>
  <si>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</si>
  <si>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</si>
  <si>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</si>
  <si>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</si>
  <si>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</si>
  <si>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</si>
  <si>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</si>
  <si>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</si>
  <si>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</si>
  <si>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</si>
  <si>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</si>
  <si>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</si>
  <si>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</si>
  <si>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</si>
  <si>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</si>
  <si>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</si>
  <si>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</si>
  <si>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</si>
  <si>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</si>
  <si>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</si>
  <si>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</si>
  <si>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</si>
  <si>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</si>
  <si>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</si>
  <si>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</si>
  <si>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</si>
  <si>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</si>
  <si>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</si>
  <si>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</si>
  <si>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</si>
  <si>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</si>
  <si>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</si>
  <si>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</si>
  <si>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</si>
  <si>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</si>
  <si>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</si>
  <si>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</si>
  <si>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</si>
  <si>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</si>
  <si>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</si>
  <si>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</si>
  <si>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</si>
  <si>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</si>
  <si>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</si>
  <si>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</si>
  <si>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</si>
  <si>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</si>
  <si>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</si>
  <si>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</si>
  <si>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</si>
  <si>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</si>
  <si>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</si>
  <si>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</si>
  <si>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</si>
  <si>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</si>
  <si>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</si>
  <si>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</si>
  <si>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</si>
  <si>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</si>
  <si>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</si>
  <si>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</si>
  <si>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</si>
  <si>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</si>
  <si>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</si>
  <si>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</si>
  <si>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</si>
  <si>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</si>
  <si>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</si>
  <si>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</si>
  <si>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</si>
  <si>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</si>
  <si>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</si>
  <si>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</si>
  <si>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</si>
  <si>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</si>
  <si>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</si>
  <si>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</si>
  <si>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</si>
  <si>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</si>
  <si>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</si>
  <si>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</si>
  <si>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</si>
  <si>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</si>
  <si>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</si>
  <si>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</si>
  <si>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</si>
  <si>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</si>
  <si>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</si>
  <si>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</si>
  <si>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</si>
  <si>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</si>
  <si>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</si>
  <si>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</si>
  <si>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</si>
  <si>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</si>
  <si>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</si>
  <si>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</si>
  <si>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</si>
  <si>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</si>
  <si>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</si>
  <si>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</si>
  <si>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</si>
  <si>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</si>
  <si>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</si>
  <si>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</si>
  <si>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</si>
  <si>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</si>
  <si>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</si>
  <si>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</si>
  <si>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</si>
  <si>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</si>
  <si>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</si>
  <si>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</si>
  <si>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</si>
  <si>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</si>
  <si>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</si>
  <si>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</si>
  <si>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</si>
  <si>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</si>
  <si>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</si>
  <si>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</si>
  <si>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</si>
  <si>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</si>
  <si>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</si>
  <si>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</si>
  <si>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</si>
  <si>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</si>
  <si>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</si>
  <si>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</si>
  <si>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</si>
  <si>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</si>
  <si>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</si>
  <si>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</si>
  <si>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</si>
  <si>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</si>
  <si>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</si>
  <si>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</si>
  <si>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</si>
  <si>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</si>
  <si>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</si>
  <si>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</si>
  <si>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</si>
  <si>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</si>
  <si>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</si>
  <si>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</si>
  <si>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</si>
  <si>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</si>
  <si>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</si>
  <si>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</si>
  <si>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</si>
  <si>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</si>
  <si>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</si>
  <si>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</si>
  <si>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</si>
  <si>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</si>
  <si>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</si>
  <si>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</si>
  <si>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</si>
  <si>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</si>
  <si>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</si>
  <si>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</si>
  <si>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</si>
  <si>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</si>
  <si>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</si>
  <si>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</si>
  <si>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</si>
  <si>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</si>
  <si>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</si>
  <si>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</si>
  <si>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</si>
  <si>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</si>
  <si>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</si>
  <si>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</si>
  <si>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</si>
  <si>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</si>
  <si>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</si>
  <si>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</si>
  <si>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</si>
  <si>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</si>
  <si>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</si>
  <si>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</si>
  <si>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</si>
  <si>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</si>
  <si>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</si>
  <si>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</si>
  <si>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</si>
  <si>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</si>
  <si>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</si>
  <si>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</si>
  <si>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</si>
  <si>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</si>
  <si>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</si>
  <si>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</si>
  <si>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</si>
  <si>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</si>
  <si>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</si>
  <si>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</si>
  <si>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</si>
  <si>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</si>
  <si>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</si>
  <si>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</si>
  <si>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</si>
  <si>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</si>
  <si>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</si>
  <si>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</si>
  <si>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</si>
  <si>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</si>
  <si>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</si>
  <si>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</si>
  <si>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</si>
  <si>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</si>
  <si>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</si>
  <si>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</si>
  <si>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</si>
  <si>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</si>
  <si>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</si>
  <si>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</si>
  <si>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</si>
  <si>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</si>
  <si>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</si>
  <si>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</si>
  <si>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</si>
  <si>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</si>
  <si>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</si>
  <si>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</si>
  <si>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</si>
  <si>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</si>
  <si>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</si>
  <si>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</si>
  <si>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</si>
  <si>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</si>
  <si>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</si>
  <si>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</si>
  <si>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</si>
  <si>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</si>
  <si>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</si>
  <si>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</si>
  <si>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</si>
  <si>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</si>
  <si>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</si>
  <si>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</si>
  <si>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</si>
  <si>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</si>
  <si>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</si>
  <si>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</si>
  <si>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</si>
  <si>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</si>
  <si>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</si>
  <si>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</si>
  <si>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</si>
  <si>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</si>
  <si>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</si>
  <si>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</si>
  <si>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</si>
  <si>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</si>
  <si>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</si>
  <si>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</si>
  <si>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</si>
  <si>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</si>
  <si>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</si>
  <si>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</si>
  <si>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</si>
  <si>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</si>
  <si>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</si>
  <si>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</si>
  <si>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</si>
  <si>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</si>
  <si>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</si>
  <si>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</si>
  <si>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</si>
  <si>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</si>
  <si>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</si>
  <si>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</si>
  <si>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</si>
  <si>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</si>
  <si>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</si>
  <si>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</si>
  <si>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</si>
  <si>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</si>
  <si>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</si>
  <si>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</si>
  <si>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</si>
  <si>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</si>
  <si>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</si>
  <si>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</si>
  <si>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</si>
  <si>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</si>
  <si>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</si>
  <si>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</si>
  <si>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</si>
  <si>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</si>
  <si>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</si>
  <si>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</si>
  <si>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</si>
  <si>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</si>
  <si>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</si>
  <si>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</si>
  <si>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</si>
  <si>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</si>
  <si>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</si>
  <si>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</si>
  <si>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</si>
  <si>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</si>
  <si>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</si>
  <si>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</si>
  <si>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</si>
  <si>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</si>
  <si>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</si>
  <si>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</si>
  <si>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</si>
  <si>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</si>
  <si>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</si>
  <si>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</si>
  <si>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</si>
  <si>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</si>
  <si>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</si>
  <si>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</si>
  <si>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</si>
  <si>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</si>
  <si>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</si>
  <si>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</si>
  <si>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</si>
  <si>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</si>
  <si>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</si>
  <si>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</si>
  <si>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</si>
  <si>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</si>
  <si>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</si>
  <si>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</si>
  <si>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</si>
  <si>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</si>
  <si>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</si>
  <si>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</si>
  <si>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</si>
  <si>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</si>
  <si>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</si>
  <si>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</si>
  <si>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</si>
  <si>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</si>
  <si>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</si>
  <si>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</si>
  <si>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</si>
  <si>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</si>
  <si>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</si>
  <si>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</si>
  <si>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</si>
  <si>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</si>
  <si>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</si>
  <si>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</si>
  <si>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</si>
  <si>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</si>
  <si>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</si>
  <si>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</si>
  <si>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</si>
  <si>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</si>
  <si>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</si>
  <si>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</si>
  <si>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</si>
  <si>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</si>
  <si>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</si>
  <si>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</si>
  <si>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</si>
  <si>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</si>
  <si>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</si>
  <si>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</si>
  <si>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</si>
  <si>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</si>
  <si>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</si>
  <si>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</si>
  <si>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</si>
  <si>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</si>
  <si>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</si>
  <si>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</si>
  <si>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</si>
  <si>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</si>
  <si>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</si>
  <si>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</si>
  <si>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</si>
  <si>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</si>
  <si>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</si>
  <si>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</si>
  <si>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</si>
  <si>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</si>
  <si>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</si>
  <si>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</si>
  <si>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</si>
  <si>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</si>
  <si>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</si>
  <si>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</si>
  <si>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</si>
  <si>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</si>
  <si>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</si>
  <si>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</si>
  <si>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</si>
  <si>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</si>
  <si>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</si>
  <si>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</si>
  <si>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</si>
  <si>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</si>
  <si>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</si>
  <si>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</si>
  <si>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</si>
  <si>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</si>
  <si>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</si>
  <si>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</si>
  <si>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</si>
  <si>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</si>
  <si>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</si>
  <si>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</si>
  <si>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</si>
  <si>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</si>
  <si>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</si>
  <si>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</si>
  <si>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</si>
  <si>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</si>
  <si>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</si>
  <si>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</si>
  <si>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</si>
  <si>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</si>
  <si>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</si>
  <si>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</si>
  <si>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</si>
  <si>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</si>
  <si>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</si>
  <si>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</si>
  <si>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</si>
  <si>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</si>
  <si>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</si>
  <si>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</si>
  <si>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</si>
  <si>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</si>
  <si>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</si>
  <si>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</si>
  <si>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</si>
  <si>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</si>
  <si>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</si>
  <si>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</si>
  <si>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</si>
  <si>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</si>
  <si>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</si>
  <si>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</si>
  <si>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</si>
  <si>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</si>
  <si>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</si>
  <si>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</si>
  <si>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</si>
  <si>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</si>
  <si>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</si>
  <si>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</si>
  <si>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</si>
  <si>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</si>
  <si>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</si>
  <si>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</si>
  <si>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</si>
  <si>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</si>
  <si>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</si>
  <si>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</si>
  <si>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</si>
  <si>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</si>
  <si>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</si>
  <si>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</si>
  <si>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</si>
  <si>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</si>
  <si>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</si>
  <si>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</si>
  <si>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</si>
  <si>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</si>
  <si>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</si>
  <si>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</si>
  <si>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</si>
  <si>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</si>
  <si>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</si>
  <si>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</si>
  <si>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</si>
  <si>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</si>
  <si>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</si>
  <si>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</si>
  <si>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</si>
  <si>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</si>
  <si>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</si>
  <si>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</si>
  <si>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</si>
  <si>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</si>
  <si>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</si>
  <si>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</si>
  <si>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</si>
  <si>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</si>
  <si>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</si>
  <si>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</si>
  <si>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</si>
  <si>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</si>
  <si>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</si>
  <si>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</si>
  <si>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</si>
  <si>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</si>
  <si>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</si>
  <si>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</si>
  <si>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</si>
  <si>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</si>
  <si>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</si>
  <si>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</si>
  <si>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</si>
  <si>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</si>
  <si>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</si>
  <si>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</si>
  <si>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</si>
  <si>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</si>
  <si>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</si>
  <si>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</si>
  <si>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</si>
  <si>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</si>
  <si>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</si>
  <si>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</si>
  <si>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</si>
  <si>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</si>
  <si>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</si>
  <si>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</si>
  <si>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</si>
  <si>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</si>
  <si>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</si>
  <si>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</si>
  <si>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</si>
  <si>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</si>
  <si>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</si>
  <si>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</si>
  <si>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</si>
  <si>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</si>
  <si>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</si>
  <si>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</si>
  <si>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</si>
  <si>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</si>
  <si>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</si>
  <si>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</si>
  <si>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</si>
  <si>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</si>
  <si>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</si>
  <si>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</si>
  <si>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</si>
  <si>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</si>
  <si>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</si>
  <si>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</si>
  <si>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</si>
  <si>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</si>
  <si>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</si>
  <si>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</si>
  <si>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</si>
  <si>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</si>
  <si>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</si>
  <si>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</si>
  <si>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</si>
  <si>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</si>
  <si>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</si>
  <si>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</si>
  <si>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</si>
  <si>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</si>
  <si>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</si>
  <si>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</si>
  <si>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</si>
  <si>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</si>
  <si>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</si>
  <si>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</si>
  <si>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</si>
  <si>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</si>
  <si>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</si>
  <si>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</si>
  <si>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</si>
  <si>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</si>
  <si>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</si>
  <si>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</si>
  <si>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</si>
  <si>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</si>
  <si>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</si>
  <si>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</si>
  <si>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</si>
  <si>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</si>
  <si>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</si>
  <si>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</si>
  <si>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</si>
  <si>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</si>
  <si>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</si>
  <si>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</si>
  <si>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</si>
  <si>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</si>
  <si>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</si>
  <si>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</si>
  <si>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</si>
  <si>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</si>
  <si>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</si>
  <si>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</si>
  <si>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</si>
  <si>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</si>
  <si>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</si>
  <si>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</si>
  <si>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</si>
  <si>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</si>
  <si>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</si>
  <si>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</si>
  <si>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</si>
  <si>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</si>
  <si>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</si>
  <si>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</si>
  <si>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</si>
  <si>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</si>
  <si>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</si>
  <si>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</si>
  <si>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</si>
  <si>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</si>
  <si>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</si>
  <si>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</si>
  <si>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</si>
  <si>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</si>
  <si>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</si>
  <si>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</si>
  <si>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</si>
  <si>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</si>
  <si>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</si>
  <si>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</si>
  <si>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</si>
  <si>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</si>
  <si>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</si>
  <si>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</si>
  <si>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</si>
  <si>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</si>
  <si>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</si>
  <si>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</si>
  <si>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</si>
  <si>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</si>
  <si>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</si>
  <si>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</si>
  <si>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</si>
  <si>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</si>
  <si>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</si>
  <si>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</si>
  <si>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</si>
  <si>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</si>
  <si>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</si>
  <si>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</si>
  <si>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</si>
  <si>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</si>
  <si>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</si>
  <si>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</si>
  <si>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</si>
  <si>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</si>
  <si>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</si>
  <si>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</si>
  <si>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</si>
  <si>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</si>
  <si>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</si>
  <si>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</si>
  <si>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</si>
  <si>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</si>
  <si>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</si>
  <si>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</si>
  <si>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</si>
  <si>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</si>
  <si>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</si>
  <si>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</si>
  <si>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</si>
  <si>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</si>
  <si>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</si>
  <si>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</si>
  <si>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</si>
  <si>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</si>
  <si>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</si>
  <si>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</si>
  <si>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</si>
  <si>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</si>
  <si>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</si>
  <si>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</si>
  <si>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</si>
  <si>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</si>
  <si>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</si>
  <si>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</si>
  <si>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</si>
  <si>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</si>
  <si>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</si>
  <si>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</si>
  <si>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</si>
  <si>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</si>
  <si>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</si>
  <si>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</si>
  <si>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</si>
  <si>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</si>
  <si>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</si>
  <si>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</si>
  <si>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</si>
  <si>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</si>
  <si>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</si>
  <si>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</si>
  <si>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</si>
  <si>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</si>
  <si>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</si>
  <si>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</si>
  <si>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</si>
  <si>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</si>
  <si>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</si>
  <si>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</si>
  <si>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</si>
  <si>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</si>
  <si>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</si>
  <si>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</si>
  <si>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</si>
  <si>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</si>
  <si>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</si>
  <si>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</si>
  <si>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</si>
  <si>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</si>
  <si>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</si>
  <si>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</si>
  <si>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</si>
  <si>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</si>
  <si>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</si>
  <si>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</si>
  <si>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</si>
  <si>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</si>
  <si>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</si>
  <si>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</si>
  <si>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</si>
  <si>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</si>
  <si>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</si>
  <si>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</si>
  <si>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</si>
  <si>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</si>
  <si>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</si>
  <si>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</si>
  <si>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</si>
  <si>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</si>
  <si>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</si>
  <si>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</si>
  <si>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</si>
  <si>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</si>
  <si>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</si>
  <si>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</si>
  <si>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</si>
  <si>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</si>
  <si>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</si>
  <si>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</si>
  <si>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</si>
  <si>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</si>
  <si>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</si>
  <si>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</si>
  <si>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</si>
  <si>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</si>
  <si>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</si>
  <si>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</si>
  <si>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</si>
  <si>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</si>
  <si>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</si>
  <si>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</si>
  <si>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</si>
  <si>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</si>
  <si>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</si>
  <si>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</si>
  <si>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</si>
  <si>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</si>
  <si>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</si>
  <si>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</si>
  <si>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</si>
  <si>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</si>
  <si>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</si>
  <si>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</si>
  <si>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</si>
  <si>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</si>
  <si>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</si>
  <si>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</si>
  <si>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</si>
  <si>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</si>
  <si>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</si>
  <si>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</si>
  <si>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</si>
  <si>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</si>
  <si>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</si>
  <si>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</si>
  <si>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</si>
  <si>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</si>
  <si>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</si>
  <si>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</si>
  <si>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</si>
  <si>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</si>
  <si>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</si>
  <si>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</si>
  <si>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</si>
  <si>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</si>
  <si>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</si>
  <si>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</si>
  <si>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</si>
  <si>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</si>
  <si>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</si>
  <si>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</si>
  <si>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</si>
  <si>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</si>
  <si>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</si>
  <si>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</si>
  <si>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</si>
  <si>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</si>
  <si>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</si>
  <si>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</si>
  <si>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</si>
  <si>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</si>
  <si>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</si>
  <si>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</si>
  <si>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</si>
  <si>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</si>
  <si>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</si>
  <si>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</si>
  <si>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</si>
  <si>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</si>
  <si>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</si>
  <si>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</si>
  <si>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</si>
  <si>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</si>
  <si>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</si>
  <si>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</si>
  <si>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</si>
  <si>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</si>
  <si>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</si>
  <si>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</si>
  <si>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</si>
  <si>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</si>
  <si>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</si>
  <si>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</si>
  <si>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</si>
  <si>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</si>
  <si>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</si>
  <si>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</si>
  <si>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</si>
  <si>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</si>
  <si>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</si>
  <si>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</si>
  <si>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</si>
  <si>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</si>
  <si>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</si>
  <si>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</si>
  <si>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</si>
  <si>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</si>
  <si>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</si>
  <si>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</si>
  <si>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</si>
  <si>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</si>
  <si>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</si>
  <si>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</si>
  <si>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</si>
  <si>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</si>
  <si>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</si>
  <si>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</si>
  <si>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</si>
  <si>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</si>
  <si>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</si>
  <si>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</si>
  <si>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</si>
  <si>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</si>
  <si>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</si>
  <si>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</si>
  <si>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</si>
  <si>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</si>
  <si>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</si>
  <si>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</si>
  <si>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</si>
  <si>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</si>
  <si>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</si>
  <si>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</si>
  <si>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</si>
  <si>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</si>
  <si>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</si>
  <si>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</si>
  <si>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</si>
  <si>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</si>
  <si>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</si>
  <si>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</si>
  <si>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</si>
  <si>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</si>
  <si>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</si>
  <si>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</si>
  <si>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</si>
  <si>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</si>
  <si>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</si>
  <si>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</si>
  <si>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</si>
  <si>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</si>
  <si>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</si>
  <si>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</si>
  <si>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</si>
  <si>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</si>
  <si>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</si>
  <si>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</si>
  <si>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</si>
  <si>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</si>
  <si>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</si>
  <si>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</si>
  <si>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</si>
  <si>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</si>
  <si>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</si>
  <si>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</si>
  <si>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</si>
  <si>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</si>
  <si>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</si>
  <si>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</si>
  <si>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</si>
  <si>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</si>
  <si>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</si>
  <si>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</si>
  <si>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</si>
  <si>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</si>
  <si>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</si>
  <si>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</si>
  <si>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</si>
  <si>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</si>
  <si>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</si>
  <si>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</si>
  <si>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</si>
  <si>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</si>
  <si>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</si>
  <si>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</si>
  <si>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</si>
  <si>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</si>
  <si>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</si>
  <si>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</si>
  <si>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</si>
  <si>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</si>
  <si>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</si>
  <si>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</si>
  <si>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</si>
  <si>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</si>
  <si>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</si>
  <si>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</si>
  <si>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</si>
  <si>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</si>
  <si>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</si>
  <si>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</si>
  <si>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</si>
  <si>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</si>
  <si>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</si>
  <si>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</si>
  <si>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</si>
  <si>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</si>
  <si>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</si>
  <si>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</si>
  <si>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</si>
  <si>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</si>
  <si>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</si>
  <si>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</si>
  <si>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</si>
  <si>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</si>
  <si>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</si>
  <si>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</si>
  <si>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</si>
  <si>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</si>
  <si>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</si>
  <si>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</si>
  <si>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</si>
  <si>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</si>
  <si>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</si>
  <si>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</si>
  <si>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</si>
  <si>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</si>
  <si>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</si>
  <si>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</si>
  <si>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</si>
  <si>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</si>
  <si>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</si>
  <si>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</si>
  <si>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</si>
  <si>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</si>
  <si>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</si>
  <si>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</si>
  <si>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</si>
  <si>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</si>
  <si>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</si>
  <si>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</si>
  <si>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</si>
  <si>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</si>
  <si>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</si>
  <si>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</si>
  <si>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</si>
  <si>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</si>
  <si>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</si>
  <si>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</si>
  <si>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</si>
  <si>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</si>
  <si>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</si>
  <si>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</si>
  <si>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</si>
  <si>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</si>
  <si>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</si>
  <si>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</si>
  <si>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</si>
  <si>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</si>
  <si>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</si>
  <si>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</si>
  <si>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</si>
  <si>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</si>
  <si>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</si>
  <si>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</si>
  <si>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</si>
  <si>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</si>
  <si>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</si>
  <si>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</si>
  <si>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</si>
  <si>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</si>
  <si>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</si>
  <si>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</si>
  <si>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</si>
  <si>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</si>
  <si>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</si>
  <si>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</si>
  <si>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</si>
  <si>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</si>
  <si>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</si>
  <si>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</si>
  <si>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</si>
  <si>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</si>
  <si>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</si>
  <si>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</si>
  <si>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</si>
  <si>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</si>
  <si>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</si>
  <si>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</si>
  <si>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</si>
  <si>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</si>
  <si>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</si>
  <si>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</si>
  <si>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</si>
  <si>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</si>
  <si>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</si>
  <si>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</si>
  <si>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</si>
  <si>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</si>
  <si>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</si>
  <si>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</si>
  <si>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</si>
  <si>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</si>
  <si>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</si>
  <si>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</si>
  <si>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</si>
  <si>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</si>
  <si>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</si>
  <si>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</si>
  <si>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</si>
  <si>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</si>
  <si>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</si>
  <si>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</si>
  <si>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</si>
  <si>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</si>
  <si>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</si>
  <si>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</si>
  <si>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</si>
  <si>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</si>
  <si>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</si>
  <si>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</si>
  <si>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</si>
  <si>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</si>
  <si>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</si>
  <si>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</si>
  <si>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</si>
  <si>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</si>
  <si>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</si>
  <si>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</si>
  <si>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</si>
  <si>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</si>
  <si>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</si>
  <si>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</si>
  <si>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</si>
  <si>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</si>
  <si>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</si>
  <si>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</si>
  <si>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</si>
  <si>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</si>
  <si>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</si>
  <si>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</si>
  <si>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</si>
  <si>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</si>
  <si>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</si>
  <si>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</si>
  <si>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</si>
  <si>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</si>
  <si>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</si>
  <si>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</si>
  <si>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</si>
  <si>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</si>
  <si>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</si>
  <si>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</si>
  <si>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</si>
  <si>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</si>
  <si>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</si>
  <si>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</si>
  <si>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</si>
  <si>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</si>
  <si>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</si>
  <si>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</si>
  <si>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</si>
  <si>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</si>
  <si>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</si>
  <si>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</si>
  <si>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</si>
  <si>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</si>
  <si>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</si>
  <si>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</si>
  <si>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</si>
  <si>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</si>
  <si>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</si>
  <si>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</si>
  <si>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</si>
  <si>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</si>
  <si>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</si>
  <si>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</si>
  <si>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</si>
  <si>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</si>
  <si>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</si>
  <si>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</si>
  <si>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</si>
  <si>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</si>
  <si>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</si>
  <si>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</si>
  <si>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</si>
  <si>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</si>
  <si>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</si>
  <si>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</si>
  <si>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</si>
  <si>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</si>
  <si>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</si>
  <si>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</si>
  <si>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</si>
  <si>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</si>
  <si>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</si>
  <si>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</si>
  <si>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</si>
  <si>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</si>
  <si>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</si>
  <si>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</si>
  <si>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</si>
  <si>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</si>
  <si>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</si>
  <si>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</si>
  <si>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</si>
  <si>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</si>
  <si>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</si>
  <si>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</si>
  <si>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</si>
  <si>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</si>
  <si>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</si>
  <si>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</si>
  <si>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</si>
  <si>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</si>
  <si>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</si>
  <si>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</si>
  <si>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</si>
  <si>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</si>
  <si>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</si>
  <si>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</si>
  <si>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</si>
  <si>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</si>
  <si>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</si>
  <si>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</si>
  <si>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</si>
  <si>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</si>
  <si>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</si>
  <si>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</si>
  <si>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</si>
  <si>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</si>
  <si>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</si>
  <si>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</si>
  <si>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</si>
  <si>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</si>
  <si>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</si>
  <si>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</si>
  <si>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</si>
  <si>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</si>
  <si>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</si>
  <si>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</si>
  <si>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</si>
  <si>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</si>
  <si>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</si>
  <si>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</si>
  <si>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</si>
  <si>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</si>
  <si>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</si>
  <si>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</si>
  <si>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</si>
  <si>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</si>
  <si>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</si>
  <si>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</si>
  <si>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</si>
  <si>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</si>
  <si>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</si>
  <si>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</si>
  <si>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</si>
  <si>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</si>
  <si>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</si>
  <si>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</si>
  <si>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</si>
  <si>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</si>
  <si>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</si>
  <si>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</si>
  <si>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</si>
  <si>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</si>
  <si>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</si>
  <si>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</si>
  <si>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</si>
  <si>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</si>
  <si>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</si>
  <si>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</si>
  <si>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</si>
  <si>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</si>
  <si>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</si>
  <si>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</si>
  <si>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</si>
  <si>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</si>
  <si>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</si>
  <si>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</si>
  <si>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</si>
  <si>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</si>
  <si>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</si>
  <si>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</si>
  <si>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</si>
  <si>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</si>
  <si>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</si>
  <si>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</si>
  <si>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</si>
  <si>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</si>
  <si>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</si>
  <si>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</si>
  <si>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</si>
  <si>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</si>
  <si>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</si>
  <si>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</si>
  <si>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</si>
  <si>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</si>
  <si>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</si>
  <si>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</si>
  <si>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</si>
  <si>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</si>
  <si>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</si>
  <si>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</si>
  <si>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</si>
  <si>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</si>
  <si>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</si>
  <si>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</si>
  <si>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</si>
  <si>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</si>
  <si>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</si>
  <si>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</si>
  <si>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</si>
  <si>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</si>
  <si>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</si>
  <si>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</si>
  <si>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</si>
  <si>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</si>
  <si>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</si>
  <si>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</si>
  <si>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</si>
  <si>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</si>
  <si>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</si>
  <si>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</si>
  <si>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</si>
  <si>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</si>
  <si>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</si>
  <si>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</si>
  <si>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</si>
  <si>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</si>
  <si>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</si>
  <si>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</si>
  <si>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</si>
  <si>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</si>
  <si>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</si>
  <si>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</si>
  <si>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</si>
  <si>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</si>
  <si>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</si>
  <si>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</si>
  <si>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</si>
  <si>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</si>
  <si>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</si>
  <si>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</si>
  <si>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</si>
  <si>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</si>
  <si>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</si>
  <si>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</si>
  <si>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</si>
  <si>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</si>
  <si>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</si>
  <si>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</si>
  <si>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</si>
  <si>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</si>
  <si>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</si>
  <si>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</si>
  <si>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</si>
  <si>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</si>
  <si>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</si>
  <si>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</si>
  <si>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</si>
  <si>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</si>
  <si>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</si>
  <si>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</si>
  <si>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</si>
  <si>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</si>
  <si>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</si>
  <si>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</si>
  <si>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</si>
  <si>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</si>
  <si>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</si>
  <si>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</si>
  <si>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</si>
  <si>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</si>
  <si>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</si>
  <si>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</si>
  <si>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</si>
  <si>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</si>
  <si>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</si>
  <si>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</si>
  <si>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</si>
  <si>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</si>
  <si>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</si>
  <si>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</si>
  <si>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</si>
  <si>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</si>
  <si>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</si>
  <si>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</si>
  <si>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</si>
  <si>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</si>
  <si>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</si>
  <si>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</si>
  <si>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</si>
  <si>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</si>
  <si>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</si>
  <si>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</si>
  <si>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</si>
  <si>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</si>
  <si>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</si>
  <si>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</si>
  <si>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</si>
  <si>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</si>
  <si>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</si>
  <si>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</si>
  <si>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</si>
  <si>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</si>
  <si>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</si>
  <si>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</si>
  <si>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</si>
  <si>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</si>
  <si>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</si>
  <si>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</si>
  <si>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</si>
  <si>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</si>
  <si>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</si>
  <si>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</si>
  <si>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</si>
  <si>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</si>
  <si>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</si>
  <si>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</si>
  <si>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</si>
  <si>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</si>
  <si>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</si>
  <si>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</si>
  <si>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</si>
  <si>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</si>
  <si>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</si>
  <si>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</si>
  <si>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</si>
  <si>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</si>
  <si>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</si>
  <si>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</si>
  <si>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</si>
  <si>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</si>
  <si>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</si>
  <si>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</si>
  <si>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</si>
  <si>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</si>
  <si>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</si>
  <si>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</si>
  <si>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</si>
  <si>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</si>
  <si>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</si>
  <si>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</si>
  <si>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</si>
  <si>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</si>
  <si>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</si>
  <si>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</si>
  <si>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</si>
  <si>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</si>
  <si>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</si>
  <si>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</si>
  <si>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</si>
  <si>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</si>
  <si>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</si>
  <si>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</si>
  <si>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</si>
  <si>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</si>
  <si>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</si>
  <si>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</si>
  <si>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</si>
  <si>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</si>
  <si>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</si>
  <si>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</si>
  <si>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</si>
  <si>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</si>
  <si>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</si>
  <si>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</si>
  <si>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</si>
  <si>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</si>
  <si>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</si>
  <si>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</si>
  <si>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</si>
  <si>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</si>
  <si>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</si>
  <si>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</si>
  <si>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</si>
  <si>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</si>
  <si>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</si>
  <si>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</si>
  <si>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</si>
  <si>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</si>
  <si>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</si>
  <si>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</si>
  <si>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</si>
  <si>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</si>
  <si>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</si>
  <si>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</si>
  <si>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</si>
  <si>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</si>
  <si>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</si>
  <si>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</si>
  <si>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</si>
  <si>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</si>
  <si>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</si>
  <si>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</si>
  <si>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</si>
  <si>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</si>
  <si>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</si>
  <si>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</si>
  <si>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</si>
  <si>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</si>
  <si>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</si>
  <si>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</si>
  <si>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</si>
  <si>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</si>
  <si>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</si>
  <si>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</si>
  <si>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</si>
  <si>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</si>
  <si>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</si>
  <si>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</si>
  <si>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</si>
  <si>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</si>
  <si>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</si>
  <si>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</si>
  <si>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</si>
  <si>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</si>
  <si>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</si>
  <si>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</si>
  <si>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</si>
  <si>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</si>
  <si>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</si>
  <si>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</si>
  <si>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</si>
  <si>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</si>
  <si>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</si>
  <si>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</si>
  <si>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</si>
  <si>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</si>
  <si>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</si>
  <si>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</si>
  <si>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</si>
  <si>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</si>
  <si>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</si>
  <si>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</si>
  <si>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</si>
  <si>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</si>
  <si>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</si>
  <si>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</si>
  <si>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</si>
  <si>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</si>
  <si>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</si>
  <si>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</si>
  <si>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</si>
  <si>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</si>
  <si>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</si>
  <si>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</si>
  <si>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</si>
  <si>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</si>
  <si>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</si>
  <si>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</si>
  <si>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</si>
  <si>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</si>
  <si>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</si>
  <si>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</si>
  <si>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</si>
  <si>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</si>
  <si>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</si>
  <si>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</si>
  <si>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</si>
  <si>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</si>
  <si>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</si>
  <si>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</si>
  <si>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</si>
  <si>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</si>
  <si>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</si>
  <si>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</si>
  <si>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</si>
  <si>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</si>
  <si>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</si>
  <si>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</si>
  <si>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</si>
  <si>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</si>
  <si>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</si>
  <si>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</si>
  <si>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</si>
  <si>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</si>
  <si>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</si>
  <si>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</si>
  <si>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</si>
  <si>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</si>
  <si>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</si>
  <si>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</si>
  <si>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</si>
  <si>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</si>
  <si>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</si>
  <si>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</si>
  <si>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</si>
  <si>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</si>
  <si>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</si>
  <si>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</si>
  <si>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</si>
  <si>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</si>
  <si>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</si>
  <si>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</si>
  <si>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</si>
  <si>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</si>
  <si>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</si>
  <si>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</si>
  <si>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</si>
  <si>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</si>
  <si>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</si>
  <si>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</si>
  <si>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</si>
  <si>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</si>
  <si>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</si>
  <si>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</si>
  <si>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</si>
  <si>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</si>
  <si>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</si>
  <si>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</si>
  <si>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</si>
  <si>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</si>
  <si>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</si>
  <si>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</si>
  <si>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</si>
  <si>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</si>
  <si>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</si>
  <si>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</si>
  <si>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</si>
  <si>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</si>
  <si>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</si>
  <si>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</si>
  <si>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</si>
  <si>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</si>
  <si>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</si>
  <si>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</si>
  <si>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</si>
  <si>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</si>
  <si>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</si>
  <si>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</si>
  <si>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</si>
  <si>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</si>
  <si>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</si>
  <si>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</si>
  <si>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</si>
  <si>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</si>
  <si>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</si>
  <si>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</si>
  <si>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</si>
  <si>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</si>
  <si>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</si>
  <si>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</si>
  <si>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</si>
  <si>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</si>
  <si>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</si>
  <si>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</si>
  <si>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</si>
  <si>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</si>
  <si>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</si>
  <si>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</si>
  <si>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</si>
  <si>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</si>
  <si>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</si>
  <si>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</si>
  <si>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</si>
  <si>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</si>
  <si>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</si>
  <si>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</si>
  <si>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</si>
  <si>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</si>
  <si>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</si>
  <si>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</si>
  <si>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</si>
  <si>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</si>
  <si>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</si>
  <si>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</si>
  <si>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</si>
  <si>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</si>
  <si>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</si>
  <si>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</si>
  <si>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</si>
  <si>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</si>
  <si>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</si>
  <si>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</si>
  <si>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</si>
  <si>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</si>
  <si>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</si>
  <si>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</si>
  <si>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</si>
  <si>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</si>
  <si>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</si>
  <si>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</si>
  <si>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</si>
  <si>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</si>
  <si>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</si>
  <si>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</si>
  <si>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</si>
  <si>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</si>
  <si>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</si>
  <si>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</si>
  <si>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</si>
  <si>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</si>
  <si>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</si>
  <si>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</si>
  <si>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</si>
  <si>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</si>
  <si>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</si>
  <si>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</si>
  <si>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</si>
  <si>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</si>
  <si>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</si>
  <si>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</si>
  <si>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</si>
  <si>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</si>
  <si>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</si>
  <si>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</si>
  <si>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</si>
  <si>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</si>
  <si>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</si>
  <si>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</si>
  <si>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</si>
  <si>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</si>
  <si>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</si>
  <si>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</si>
  <si>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</si>
  <si>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</si>
  <si>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</si>
  <si>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</si>
  <si>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</si>
  <si>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</si>
  <si>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</si>
  <si>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</si>
  <si>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</si>
  <si>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</si>
  <si>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</si>
  <si>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</si>
  <si>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</si>
  <si>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</si>
  <si>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</si>
  <si>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</si>
  <si>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</si>
  <si>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</si>
  <si>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</si>
  <si>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</si>
  <si>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</si>
  <si>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</si>
  <si>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</si>
  <si>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</si>
  <si>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</si>
  <si>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</si>
  <si>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</si>
  <si>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</si>
  <si>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</si>
  <si>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</si>
  <si>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</si>
  <si>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</si>
  <si>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</si>
  <si>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</si>
  <si>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</si>
  <si>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</si>
  <si>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</si>
  <si>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</si>
  <si>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</si>
  <si>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</si>
  <si>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</si>
  <si>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</si>
  <si>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</si>
  <si>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</si>
  <si>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</si>
  <si>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</si>
  <si>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</si>
  <si>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</si>
  <si>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</si>
  <si>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</si>
  <si>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</si>
  <si>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</si>
  <si>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</si>
  <si>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</si>
  <si>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</si>
  <si>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</si>
  <si>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</si>
  <si>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</si>
  <si>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</si>
  <si>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</si>
  <si>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</si>
  <si>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</si>
  <si>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</si>
  <si>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</si>
  <si>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</si>
  <si>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</si>
  <si>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</si>
  <si>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</si>
  <si>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</si>
  <si>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</si>
  <si>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</si>
  <si>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</si>
  <si>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</si>
  <si>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</si>
  <si>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</si>
  <si>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</si>
  <si>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</si>
  <si>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</si>
  <si>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</si>
  <si>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</si>
  <si>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</si>
  <si>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</si>
  <si>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</si>
  <si>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</si>
  <si>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</si>
  <si>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</si>
  <si>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</si>
  <si>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</si>
  <si>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</si>
  <si>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</si>
  <si>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</si>
  <si>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</si>
  <si>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</si>
  <si>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</si>
  <si>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</si>
  <si>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</si>
  <si>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</si>
  <si>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</si>
  <si>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</si>
  <si>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</si>
  <si>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</si>
  <si>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</si>
  <si>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</si>
  <si>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</si>
  <si>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</si>
  <si>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</si>
  <si>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</si>
  <si>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</si>
  <si>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</si>
  <si>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</si>
  <si>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</si>
  <si>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</si>
  <si>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</si>
  <si>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</si>
  <si>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</si>
  <si>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</si>
  <si>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</si>
  <si>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</si>
  <si>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</si>
  <si>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</si>
  <si>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</si>
  <si>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</si>
  <si>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</si>
  <si>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</si>
  <si>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</si>
  <si>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</si>
  <si>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</si>
  <si>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</si>
  <si>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</si>
  <si>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</si>
  <si>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</si>
  <si>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</si>
  <si>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</si>
  <si>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</si>
  <si>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</si>
  <si>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</si>
  <si>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</si>
  <si>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</si>
  <si>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</si>
  <si>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</si>
  <si>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</si>
  <si>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</si>
  <si>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</si>
  <si>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</si>
  <si>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</si>
  <si>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</si>
  <si>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</si>
  <si>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</si>
  <si>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</si>
  <si>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</si>
  <si>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</si>
  <si>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</si>
  <si>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</si>
  <si>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</si>
  <si>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</si>
  <si>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</si>
  <si>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</si>
  <si>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</si>
  <si>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</si>
  <si>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</si>
  <si>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</si>
  <si>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</si>
  <si>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</si>
  <si>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</si>
  <si>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</si>
  <si>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</si>
  <si>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</si>
  <si>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</si>
  <si>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</si>
  <si>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</si>
  <si>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</si>
  <si>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</si>
  <si>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</si>
  <si>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</si>
  <si>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</si>
  <si>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</si>
  <si>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</si>
  <si>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</si>
  <si>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</si>
  <si>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</si>
  <si>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</si>
  <si>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</si>
  <si>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</si>
  <si>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</si>
  <si>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</si>
  <si>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</si>
  <si>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</si>
  <si>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</si>
  <si>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</si>
  <si>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</si>
  <si>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</si>
  <si>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</si>
  <si>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</si>
  <si>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</si>
  <si>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</si>
  <si>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</si>
  <si>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</si>
  <si>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</si>
  <si>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</si>
  <si>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</si>
  <si>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</si>
  <si>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</si>
  <si>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</si>
  <si>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</si>
  <si>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</si>
  <si>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</si>
  <si>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</si>
  <si>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</si>
  <si>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</si>
  <si>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</si>
  <si>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</si>
  <si>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</si>
  <si>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</si>
  <si>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</si>
  <si>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</si>
  <si>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</si>
  <si>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</si>
  <si>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</si>
  <si>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</si>
  <si>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</si>
  <si>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</si>
  <si>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</si>
  <si>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</si>
  <si>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</si>
  <si>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</si>
  <si>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</si>
  <si>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</si>
  <si>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</si>
  <si>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</si>
  <si>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</si>
  <si>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</si>
  <si>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</si>
  <si>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</si>
  <si>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</si>
  <si>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</si>
  <si>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</si>
  <si>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</si>
  <si>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</si>
  <si>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</si>
  <si>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</si>
  <si>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</si>
  <si>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</si>
  <si>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</si>
  <si>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</si>
  <si>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</si>
  <si>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</si>
  <si>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</si>
  <si>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</si>
  <si>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</si>
  <si>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</si>
  <si>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</si>
  <si>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</si>
  <si>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</si>
  <si>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</si>
  <si>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</si>
  <si>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</si>
  <si>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</si>
  <si>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</si>
  <si>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</si>
  <si>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</si>
  <si>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</si>
  <si>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</si>
  <si>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</si>
  <si>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</si>
  <si>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</si>
  <si>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</si>
  <si>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</si>
  <si>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</si>
  <si>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</si>
  <si>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</si>
  <si>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</si>
  <si>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</si>
  <si>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</si>
  <si>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</si>
  <si>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</si>
  <si>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</si>
  <si>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</si>
  <si>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</si>
  <si>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</si>
  <si>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</si>
  <si>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</si>
  <si>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</si>
  <si>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</si>
  <si>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</si>
  <si>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</si>
  <si>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</si>
  <si>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</si>
  <si>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</si>
  <si>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</si>
  <si>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</si>
  <si>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</si>
  <si>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</si>
  <si>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</si>
  <si>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</si>
  <si>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</si>
  <si>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</si>
  <si>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</si>
  <si>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</si>
  <si>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</si>
  <si>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</si>
  <si>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</si>
  <si>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</si>
  <si>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</si>
  <si>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</si>
  <si>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</si>
  <si>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</si>
  <si>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</si>
  <si>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</si>
  <si>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</si>
  <si>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</si>
  <si>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</si>
  <si>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</si>
  <si>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</si>
  <si>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</si>
  <si>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</si>
  <si>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</si>
  <si>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</si>
  <si>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</si>
  <si>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</si>
  <si>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</si>
  <si>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</si>
  <si>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</si>
  <si>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</si>
  <si>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</si>
  <si>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</si>
  <si>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</si>
  <si>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</si>
  <si>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</si>
  <si>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</si>
  <si>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</si>
  <si>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</si>
  <si>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</si>
  <si>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</si>
  <si>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</si>
  <si>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</si>
  <si>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</si>
  <si>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</si>
  <si>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</si>
  <si>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</si>
  <si>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</si>
  <si>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</si>
  <si>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</si>
  <si>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</si>
  <si>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</si>
  <si>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</si>
  <si>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</si>
  <si>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</si>
  <si>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</si>
  <si>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</si>
  <si>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</si>
  <si>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</si>
  <si>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</si>
  <si>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</si>
  <si>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</si>
  <si>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</si>
  <si>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</si>
  <si>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</si>
  <si>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</si>
  <si>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</si>
  <si>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</si>
  <si>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</si>
  <si>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</si>
  <si>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</si>
  <si>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</si>
  <si>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</si>
  <si>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</si>
  <si>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</si>
  <si>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</si>
  <si>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</si>
  <si>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</si>
  <si>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</si>
  <si>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</si>
  <si>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</si>
  <si>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</si>
  <si>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</si>
  <si>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</si>
  <si>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</si>
  <si>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</si>
  <si>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</si>
  <si>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</si>
  <si>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</si>
  <si>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</si>
  <si>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</si>
  <si>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</si>
  <si>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</si>
  <si>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</si>
  <si>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</si>
  <si>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</si>
  <si>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</si>
  <si>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</si>
  <si>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</si>
  <si>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</si>
  <si>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</si>
  <si>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</si>
  <si>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</si>
  <si>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</si>
  <si>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</si>
  <si>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</si>
  <si>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</si>
  <si>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</si>
  <si>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</si>
  <si>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</si>
  <si>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</si>
  <si>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</si>
  <si>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</si>
  <si>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</si>
  <si>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</si>
  <si>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</si>
  <si>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</si>
  <si>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</si>
  <si>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</si>
  <si>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</si>
  <si>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</si>
  <si>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</si>
  <si>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</si>
  <si>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</si>
  <si>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</si>
  <si>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</si>
  <si>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</si>
  <si>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</si>
  <si>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</si>
  <si>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</si>
  <si>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</si>
  <si>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</si>
  <si>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</si>
  <si>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</si>
  <si>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</si>
  <si>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</si>
  <si>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</si>
  <si>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</si>
  <si>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</si>
  <si>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</si>
  <si>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</si>
  <si>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</si>
  <si>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</si>
  <si>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</si>
  <si>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</si>
  <si>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</si>
  <si>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</si>
  <si>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</si>
  <si>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</si>
  <si>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</si>
  <si>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</si>
  <si>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</si>
  <si>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</si>
  <si>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</si>
  <si>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</si>
  <si>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</si>
  <si>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</si>
  <si>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</si>
  <si>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</si>
  <si>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</si>
  <si>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</si>
  <si>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</si>
  <si>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</si>
  <si>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</si>
  <si>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</si>
  <si>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</si>
  <si>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</si>
  <si>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</si>
  <si>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</si>
  <si>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</si>
  <si>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</si>
  <si>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</si>
  <si>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</si>
  <si>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</si>
  <si>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</si>
  <si>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</si>
  <si>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</si>
  <si>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</si>
  <si>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</si>
  <si>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</si>
  <si>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</si>
  <si>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</si>
  <si>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</si>
  <si>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</si>
  <si>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</si>
  <si>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</si>
  <si>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</si>
  <si>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</si>
  <si>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</si>
  <si>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</si>
  <si>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</si>
  <si>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</si>
  <si>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</si>
  <si>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</si>
  <si>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</si>
  <si>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</si>
  <si>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</si>
  <si>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</si>
  <si>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</si>
  <si>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</si>
  <si>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</si>
  <si>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</si>
  <si>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</si>
  <si>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</si>
  <si>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</si>
  <si>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</si>
  <si>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</si>
  <si>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</si>
  <si>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</si>
  <si>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</si>
  <si>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</si>
  <si>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</si>
  <si>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</si>
  <si>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</si>
  <si>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</si>
  <si>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</si>
  <si>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</si>
  <si>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</si>
  <si>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</si>
  <si>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</si>
  <si>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</si>
  <si>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</si>
  <si>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</si>
  <si>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</si>
  <si>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</si>
  <si>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</si>
  <si>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</si>
  <si>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</si>
  <si>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</si>
  <si>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</si>
  <si>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</si>
  <si>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</si>
  <si>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</si>
  <si>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</si>
  <si>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</si>
  <si>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</si>
  <si>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</si>
  <si>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</si>
  <si>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</si>
  <si>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</si>
  <si>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</si>
  <si>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</si>
  <si>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</si>
  <si>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</si>
  <si>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</si>
  <si>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</si>
  <si>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</si>
  <si>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</si>
  <si>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</si>
  <si>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</si>
  <si>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</si>
  <si>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</si>
  <si>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</si>
  <si>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</si>
  <si>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</si>
  <si>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</si>
  <si>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</si>
  <si>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</si>
  <si>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</si>
  <si>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</si>
  <si>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</si>
  <si>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</si>
  <si>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</si>
  <si>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</si>
  <si>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</si>
  <si>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</si>
  <si>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</si>
  <si>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</si>
  <si>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</si>
  <si>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</si>
  <si>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</si>
  <si>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</si>
  <si>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</si>
  <si>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</si>
  <si>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</si>
  <si>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</si>
  <si>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</si>
  <si>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</si>
  <si>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</si>
  <si>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</si>
  <si>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</si>
  <si>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</si>
  <si>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</si>
  <si>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</si>
  <si>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</si>
  <si>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</si>
  <si>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</si>
  <si>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</si>
  <si>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</si>
  <si>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</si>
  <si>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</si>
  <si>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</si>
  <si>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</si>
  <si>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</si>
  <si>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</si>
  <si>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</si>
  <si>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</si>
  <si>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</si>
  <si>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</si>
  <si>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</si>
  <si>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</si>
  <si>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</si>
  <si>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</si>
  <si>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</si>
  <si>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</si>
  <si>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</si>
  <si>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</si>
  <si>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</si>
  <si>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</si>
  <si>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</si>
  <si>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</si>
  <si>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</si>
  <si>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</si>
  <si>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</si>
  <si>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</si>
  <si>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</si>
  <si>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</si>
  <si>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</si>
  <si>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</si>
  <si>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</si>
  <si>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</si>
  <si>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</si>
  <si>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</si>
  <si>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</si>
  <si>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</si>
  <si>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</si>
  <si>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</si>
  <si>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</si>
  <si>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</si>
  <si>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</si>
  <si>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</si>
  <si>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</si>
  <si>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</si>
  <si>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</si>
  <si>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</si>
  <si>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</si>
  <si>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</si>
  <si>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</si>
  <si>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</si>
  <si>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</si>
  <si>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</si>
  <si>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</si>
  <si>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</si>
  <si>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</si>
  <si>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</si>
  <si>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</si>
  <si>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</si>
  <si>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</si>
  <si>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</si>
  <si>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</si>
  <si>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</si>
  <si>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</si>
  <si>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</si>
  <si>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</si>
  <si>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</si>
  <si>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</si>
  <si>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</si>
  <si>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</si>
  <si>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</si>
  <si>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</si>
  <si>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</si>
  <si>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</si>
  <si>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</si>
  <si>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</si>
  <si>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</si>
  <si>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</si>
  <si>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</si>
  <si>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</si>
  <si>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</si>
  <si>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</si>
  <si>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</si>
  <si>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</si>
  <si>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</si>
  <si>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</si>
  <si>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</si>
  <si>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</si>
  <si>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</si>
  <si>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</si>
  <si>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</si>
  <si>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</si>
  <si>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</si>
  <si>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</si>
  <si>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</si>
  <si>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</si>
  <si>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</si>
  <si>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</si>
  <si>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</si>
  <si>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</si>
  <si>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</si>
  <si>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</si>
  <si>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</si>
  <si>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</si>
  <si>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</si>
  <si>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</si>
  <si>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</si>
  <si>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</si>
  <si>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</si>
  <si>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</si>
  <si>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</si>
  <si>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</si>
  <si>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</si>
  <si>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</si>
  <si>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</si>
  <si>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</si>
  <si>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</si>
  <si>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</si>
  <si>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</si>
  <si>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</si>
  <si>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</si>
  <si>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</si>
  <si>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</si>
  <si>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</si>
  <si>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</si>
  <si>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</si>
  <si>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</si>
  <si>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</si>
  <si>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</si>
  <si>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</si>
  <si>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</si>
  <si>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</si>
  <si>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</si>
  <si>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</si>
  <si>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</si>
  <si>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</si>
  <si>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</si>
  <si>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</si>
  <si>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</si>
  <si>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</si>
  <si>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</si>
  <si>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</si>
  <si>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</si>
  <si>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</si>
  <si>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</si>
  <si>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</si>
  <si>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</si>
  <si>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</si>
  <si>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</si>
  <si>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</si>
  <si>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</si>
  <si>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</si>
  <si>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</si>
  <si>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</si>
  <si>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</si>
  <si>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</si>
  <si>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</si>
  <si>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</si>
  <si>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</si>
  <si>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</si>
  <si>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</si>
  <si>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</si>
  <si>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</si>
  <si>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</si>
  <si>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</si>
  <si>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</si>
  <si>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</si>
  <si>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</si>
  <si>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</si>
  <si>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</si>
  <si>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</si>
  <si>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</si>
  <si>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</si>
  <si>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</si>
  <si>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</si>
  <si>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</si>
  <si>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</si>
  <si>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</si>
  <si>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</si>
  <si>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</si>
  <si>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</si>
  <si>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</si>
  <si>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</si>
  <si>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</si>
  <si>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</si>
  <si>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</si>
  <si>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</si>
  <si>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</si>
  <si>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</si>
  <si>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</si>
  <si>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</si>
  <si>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</si>
  <si>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</si>
  <si>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</si>
  <si>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</si>
  <si>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</si>
  <si>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</si>
  <si>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</si>
  <si>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</si>
  <si>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</si>
  <si>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</si>
  <si>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</si>
  <si>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</si>
  <si>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</si>
  <si>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</si>
  <si>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</si>
  <si>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</si>
  <si>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</si>
  <si>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</si>
  <si>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</si>
  <si>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</si>
  <si>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</si>
  <si>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</si>
  <si>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</si>
  <si>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</si>
  <si>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</si>
  <si>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</si>
  <si>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</si>
  <si>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</si>
  <si>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</si>
  <si>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</si>
  <si>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</si>
  <si>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</si>
  <si>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</si>
  <si>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</si>
  <si>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</si>
  <si>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</si>
  <si>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</si>
  <si>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</si>
  <si>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</si>
  <si>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</si>
  <si>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</si>
  <si>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</si>
  <si>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</si>
  <si>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</si>
  <si>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</si>
  <si>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</si>
  <si>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</si>
  <si>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</si>
  <si>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</si>
  <si>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</si>
  <si>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</si>
  <si>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</si>
  <si>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</si>
  <si>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</si>
  <si>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</si>
  <si>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</si>
  <si>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</si>
  <si>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</si>
  <si>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</si>
  <si>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</si>
  <si>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</si>
  <si>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</si>
  <si>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</si>
  <si>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</si>
  <si>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</si>
  <si>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</si>
  <si>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</si>
  <si>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</si>
  <si>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</si>
  <si>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</si>
  <si>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</si>
  <si>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</si>
  <si>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</si>
  <si>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</si>
  <si>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</si>
  <si>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</si>
  <si>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</si>
  <si>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</si>
  <si>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</si>
  <si>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</si>
  <si>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</si>
  <si>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</si>
  <si>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</si>
  <si>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</si>
  <si>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</si>
  <si>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</si>
  <si>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</si>
  <si>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</si>
  <si>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</si>
  <si>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</si>
  <si>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</si>
  <si>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</si>
  <si>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</si>
  <si>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</si>
  <si>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</si>
  <si>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</si>
  <si>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</si>
  <si>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</si>
  <si>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</si>
  <si>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</si>
  <si>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</si>
  <si>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</si>
  <si>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</si>
  <si>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</si>
  <si>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</si>
  <si>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</si>
  <si>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</si>
  <si>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</si>
  <si>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</si>
  <si>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</si>
  <si>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</si>
  <si>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</si>
  <si>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</si>
  <si>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</si>
  <si>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</si>
  <si>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</si>
  <si>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</si>
  <si>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</si>
  <si>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</si>
  <si>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</si>
  <si>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</si>
  <si>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</si>
  <si>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</si>
  <si>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</si>
  <si>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</si>
  <si>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</si>
  <si>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</si>
  <si>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</si>
  <si>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</si>
  <si>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</si>
  <si>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</si>
  <si>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</si>
  <si>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</si>
  <si>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</si>
  <si>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</si>
  <si>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</si>
  <si>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</si>
  <si>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</si>
  <si>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</si>
  <si>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</si>
  <si>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</si>
  <si>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</si>
  <si>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</si>
  <si>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</si>
  <si>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</si>
  <si>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</si>
  <si>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</si>
  <si>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</si>
  <si>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</si>
  <si>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</si>
  <si>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</si>
  <si>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</si>
  <si>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</si>
  <si>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</si>
  <si>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</si>
  <si>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</si>
  <si>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</si>
  <si>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</si>
  <si>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</si>
  <si>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</si>
  <si>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</si>
  <si>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</si>
  <si>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</si>
  <si>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</si>
  <si>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</si>
  <si>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</si>
  <si>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</si>
  <si>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</si>
  <si>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</si>
  <si>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</si>
  <si>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</si>
  <si>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</si>
  <si>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</si>
  <si>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</si>
  <si>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</si>
  <si>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</si>
  <si>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</si>
  <si>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</si>
  <si>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</si>
  <si>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</si>
  <si>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</si>
  <si>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</si>
  <si>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</si>
  <si>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</si>
  <si>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</si>
  <si>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</si>
  <si>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</si>
  <si>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</si>
  <si>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</si>
  <si>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</si>
  <si>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</si>
  <si>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</si>
  <si>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</si>
  <si>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</si>
  <si>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</si>
  <si>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</si>
  <si>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</si>
  <si>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</si>
  <si>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</si>
  <si>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</si>
  <si>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</si>
  <si>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</si>
  <si>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</si>
  <si>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</si>
  <si>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</si>
  <si>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</si>
  <si>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</si>
  <si>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</si>
  <si>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</si>
  <si>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</si>
  <si>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</si>
  <si>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</si>
  <si>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</si>
  <si>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</si>
  <si>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</si>
  <si>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</si>
  <si>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</si>
  <si>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</si>
  <si>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</si>
  <si>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</si>
  <si>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</si>
  <si>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</si>
  <si>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</si>
  <si>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</si>
  <si>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</si>
  <si>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</si>
  <si>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</si>
  <si>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</si>
  <si>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</si>
  <si>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</si>
  <si>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</si>
  <si>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</si>
  <si>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</si>
  <si>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</si>
  <si>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</si>
  <si>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</si>
  <si>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</si>
  <si>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</si>
  <si>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</si>
  <si>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</si>
  <si>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</si>
  <si>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</si>
  <si>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</si>
  <si>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</si>
  <si>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</si>
  <si>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</si>
  <si>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</si>
  <si>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</si>
  <si>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</si>
  <si>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</si>
  <si>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</si>
  <si>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</si>
  <si>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</si>
  <si>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</si>
  <si>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</si>
  <si>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</si>
  <si>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</si>
  <si>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</si>
  <si>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</si>
  <si>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</si>
  <si>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</si>
  <si>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</si>
  <si>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</si>
  <si>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</si>
  <si>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</si>
  <si>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</si>
  <si>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</si>
  <si>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</si>
  <si>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</si>
  <si>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</si>
  <si>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</si>
  <si>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</si>
  <si>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</si>
  <si>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</si>
  <si>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</si>
  <si>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</si>
  <si>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</si>
  <si>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</si>
  <si>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</si>
  <si>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</si>
  <si>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</si>
  <si>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</si>
  <si>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</si>
  <si>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</si>
  <si>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</si>
  <si>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</si>
  <si>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</si>
  <si>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</si>
  <si>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</si>
  <si>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</si>
  <si>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</si>
  <si>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</si>
  <si>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</si>
  <si>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</si>
  <si>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</si>
  <si>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</si>
  <si>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</si>
  <si>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</si>
  <si>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</si>
  <si>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</si>
  <si>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</si>
  <si>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</si>
  <si>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</si>
  <si>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</si>
  <si>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</si>
  <si>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</si>
  <si>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</si>
  <si>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</si>
  <si>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</si>
  <si>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</si>
  <si>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</si>
  <si>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</si>
  <si>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</si>
  <si>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</si>
  <si>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</si>
  <si>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</si>
  <si>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</si>
  <si>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</si>
  <si>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</si>
  <si>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</si>
  <si>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</si>
  <si>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</si>
  <si>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</si>
  <si>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</si>
  <si>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</si>
  <si>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</si>
  <si>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</si>
  <si>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</si>
  <si>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</si>
  <si>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</si>
  <si>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</si>
  <si>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</si>
  <si>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</si>
  <si>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</si>
  <si>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</si>
  <si>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</si>
  <si>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</si>
  <si>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</si>
  <si>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</si>
  <si>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</si>
  <si>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</si>
  <si>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</si>
  <si>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</si>
  <si>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</si>
  <si>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</si>
  <si>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</si>
  <si>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</si>
  <si>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</si>
  <si>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</si>
  <si>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</si>
  <si>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</si>
  <si>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</si>
  <si>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</si>
  <si>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</si>
  <si>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</si>
  <si>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</si>
  <si>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</si>
  <si>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</si>
  <si>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</si>
  <si>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</si>
  <si>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</si>
  <si>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</si>
  <si>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</si>
  <si>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</si>
  <si>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</si>
  <si>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</si>
  <si>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</si>
  <si>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</si>
  <si>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</si>
  <si>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</si>
  <si>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</si>
  <si>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</si>
  <si>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</si>
  <si>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</si>
  <si>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</si>
  <si>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</si>
  <si>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</si>
  <si>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</si>
  <si>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</si>
  <si>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</si>
  <si>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</si>
  <si>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</si>
  <si>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</si>
  <si>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</si>
  <si>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</si>
  <si>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</si>
  <si>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</si>
  <si>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</si>
  <si>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</si>
  <si>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</si>
  <si>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</si>
  <si>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</si>
  <si>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</si>
  <si>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</si>
  <si>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</si>
  <si>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</si>
  <si>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</si>
  <si>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</si>
  <si>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</si>
  <si>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</si>
  <si>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</si>
  <si>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</si>
  <si>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</si>
  <si>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</si>
  <si>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</si>
  <si>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</si>
  <si>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</si>
  <si>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</si>
  <si>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</si>
  <si>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</si>
  <si>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</si>
  <si>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</si>
  <si>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</si>
  <si>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</si>
  <si>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</si>
  <si>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</si>
  <si>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</si>
  <si>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</si>
  <si>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</si>
  <si>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</si>
  <si>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</si>
  <si>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</si>
  <si>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</si>
  <si>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</si>
  <si>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</si>
  <si>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</si>
  <si>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</si>
  <si>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</si>
  <si>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</si>
  <si>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</si>
  <si>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</si>
  <si>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</si>
  <si>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</si>
  <si>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</si>
  <si>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</si>
  <si>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</si>
  <si>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</si>
  <si>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</si>
  <si>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</si>
  <si>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</si>
  <si>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</si>
  <si>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</si>
  <si>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</si>
  <si>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</si>
  <si>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</si>
  <si>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</si>
  <si>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</si>
  <si>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</si>
  <si>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</si>
  <si>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</si>
  <si>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</si>
  <si>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</si>
  <si>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</si>
  <si>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</si>
  <si>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</si>
  <si>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</si>
  <si>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</si>
  <si>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</si>
  <si>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</si>
  <si>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</si>
  <si>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</si>
  <si>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</si>
  <si>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</si>
  <si>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</si>
  <si>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</si>
  <si>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</si>
  <si>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</si>
  <si>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</si>
  <si>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</si>
  <si>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</si>
  <si>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</si>
  <si>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</si>
  <si>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</si>
  <si>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</si>
  <si>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</si>
  <si>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</si>
  <si>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</si>
  <si>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</si>
  <si>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</si>
  <si>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</si>
  <si>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</si>
  <si>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</si>
  <si>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</si>
  <si>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</si>
  <si>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</si>
  <si>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</si>
  <si>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</si>
  <si>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</si>
  <si>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</si>
  <si>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</si>
  <si>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</si>
  <si>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</si>
  <si>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</si>
  <si>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</si>
  <si>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</si>
  <si>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</si>
  <si>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</si>
  <si>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</si>
  <si>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</si>
  <si>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</si>
  <si>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</si>
  <si>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</si>
  <si>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</si>
  <si>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</si>
  <si>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</si>
  <si>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</si>
  <si>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</si>
  <si>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</si>
  <si>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</si>
  <si>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</si>
  <si>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</si>
  <si>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</si>
  <si>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</si>
  <si>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</si>
  <si>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</si>
  <si>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</si>
  <si>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</si>
  <si>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</si>
  <si>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</si>
  <si>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</si>
  <si>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</si>
  <si>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</si>
  <si>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</si>
  <si>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</si>
  <si>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</si>
  <si>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</si>
  <si>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</si>
  <si>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</si>
  <si>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</si>
  <si>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</si>
  <si>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</si>
  <si>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</si>
  <si>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</si>
  <si>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</si>
  <si>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</si>
  <si>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</si>
  <si>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</si>
  <si>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</si>
  <si>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</si>
  <si>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</si>
  <si>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</si>
  <si>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</si>
  <si>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</si>
  <si>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</si>
  <si>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</si>
  <si>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</si>
  <si>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</si>
  <si>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</si>
  <si>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</si>
  <si>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</si>
  <si>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</si>
  <si>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</si>
  <si>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</si>
  <si>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</si>
  <si>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</si>
  <si>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</si>
  <si>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</si>
  <si>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</si>
  <si>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</si>
  <si>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</si>
  <si>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</si>
  <si>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</si>
  <si>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</si>
  <si>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</si>
  <si>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</si>
  <si>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</si>
  <si>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</si>
  <si>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</si>
  <si>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</si>
  <si>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</si>
  <si>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</si>
  <si>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</si>
  <si>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</si>
  <si>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</si>
  <si>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</si>
  <si>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</si>
  <si>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</si>
  <si>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</si>
  <si>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</si>
  <si>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</si>
  <si>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</si>
  <si>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</si>
  <si>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</si>
  <si>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</si>
  <si>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</si>
  <si>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</si>
  <si>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</si>
  <si>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</si>
  <si>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</si>
  <si>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</si>
  <si>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</si>
  <si>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</si>
  <si>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</si>
  <si>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</si>
  <si>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</si>
  <si>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</si>
  <si>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</si>
  <si>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</si>
  <si>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</si>
  <si>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</si>
  <si>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</si>
  <si>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</si>
  <si>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</si>
  <si>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</si>
  <si>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</si>
  <si>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</si>
  <si>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</si>
  <si>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</si>
  <si>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</si>
  <si>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</si>
  <si>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</si>
  <si>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</si>
  <si>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</si>
  <si>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</si>
  <si>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</si>
  <si>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</si>
  <si>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</si>
  <si>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</si>
  <si>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</si>
  <si>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</si>
  <si>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</si>
  <si>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</si>
  <si>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</si>
  <si>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</si>
  <si>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</si>
  <si>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</si>
  <si>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</si>
  <si>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</si>
  <si>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</si>
  <si>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</si>
  <si>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</si>
  <si>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</si>
  <si>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</si>
  <si>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</si>
  <si>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</si>
  <si>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</si>
  <si>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</si>
  <si>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</si>
  <si>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</si>
  <si>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</si>
  <si>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</si>
  <si>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</si>
  <si>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</si>
  <si>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</si>
  <si>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</si>
  <si>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</si>
  <si>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</si>
  <si>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</si>
  <si>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</si>
  <si>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</si>
  <si>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</si>
  <si>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</si>
  <si>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</si>
  <si>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</si>
  <si>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</si>
  <si>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</si>
  <si>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</si>
  <si>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</si>
  <si>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</si>
  <si>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</si>
  <si>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</si>
  <si>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</si>
  <si>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</si>
  <si>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</si>
  <si>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</si>
  <si>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</si>
  <si>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</si>
  <si>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</si>
  <si>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</si>
  <si>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</si>
  <si>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</si>
  <si>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</si>
  <si>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</si>
  <si>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</si>
  <si>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</si>
  <si>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</si>
  <si>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</si>
  <si>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</si>
  <si>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</si>
  <si>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</si>
  <si>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</si>
  <si>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</si>
  <si>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</si>
  <si>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</si>
  <si>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</si>
  <si>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</si>
  <si>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</si>
  <si>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</si>
  <si>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</si>
  <si>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</si>
  <si>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</si>
  <si>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</si>
  <si>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</si>
  <si>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</si>
  <si>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</si>
  <si>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</si>
  <si>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</si>
  <si>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</si>
  <si>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</si>
  <si>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</si>
  <si>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</si>
  <si>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</si>
  <si>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</si>
  <si>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</si>
  <si>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</si>
  <si>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</si>
  <si>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</si>
  <si>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</si>
  <si>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</si>
  <si>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</si>
  <si>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</si>
  <si>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</si>
  <si>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</si>
  <si>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</si>
  <si>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</si>
  <si>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</si>
  <si>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</si>
  <si>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</si>
  <si>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</si>
  <si>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</si>
  <si>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</si>
  <si>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</si>
  <si>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</si>
  <si>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</si>
  <si>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</si>
  <si>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</si>
  <si>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</si>
  <si>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</si>
  <si>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</si>
  <si>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</si>
  <si>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</si>
  <si>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</si>
  <si>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</si>
  <si>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</si>
  <si>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</si>
  <si>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</si>
  <si>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</si>
  <si>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</si>
  <si>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</si>
  <si>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</si>
  <si>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</si>
  <si>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</si>
  <si>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</si>
  <si>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</si>
  <si>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</si>
  <si>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</si>
  <si>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</si>
  <si>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</si>
  <si>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</si>
  <si>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</si>
  <si>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</si>
  <si>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</si>
  <si>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</si>
  <si>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</si>
  <si>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</si>
  <si>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</si>
  <si>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</si>
  <si>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</si>
  <si>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</si>
  <si>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</si>
  <si>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</si>
  <si>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</si>
  <si>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</si>
  <si>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</si>
  <si>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</si>
  <si>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</si>
  <si>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</si>
  <si>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</si>
  <si>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</si>
  <si>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</si>
  <si>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</si>
  <si>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</si>
  <si>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</si>
  <si>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</si>
  <si>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</si>
  <si>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</si>
  <si>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</si>
  <si>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</si>
  <si>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</si>
  <si>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</si>
  <si>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</si>
  <si>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</si>
  <si>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</si>
  <si>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</si>
  <si>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</si>
  <si>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</si>
  <si>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</si>
  <si>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</si>
  <si>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</si>
  <si>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</si>
  <si>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</si>
  <si>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</si>
  <si>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</si>
  <si>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</si>
  <si>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</si>
  <si>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</si>
  <si>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</si>
  <si>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</si>
  <si>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</si>
  <si>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</si>
  <si>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</si>
  <si>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</si>
  <si>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</si>
  <si>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</si>
  <si>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</si>
  <si>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</si>
  <si>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</si>
  <si>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</si>
  <si>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</si>
  <si>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</si>
  <si>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</si>
  <si>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</si>
  <si>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</si>
  <si>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</si>
  <si>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</si>
  <si>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</si>
  <si>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</si>
  <si>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</si>
  <si>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</si>
  <si>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</si>
  <si>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</si>
  <si>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</si>
  <si>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</si>
  <si>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</si>
  <si>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</si>
  <si>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</si>
  <si>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</si>
  <si>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</si>
  <si>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</si>
  <si>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</si>
  <si>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</si>
  <si>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</si>
  <si>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</si>
  <si>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</si>
  <si>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</si>
  <si>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</si>
  <si>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</si>
  <si>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</si>
  <si>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</si>
  <si>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</si>
  <si>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</si>
  <si>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</si>
  <si>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</si>
  <si>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</si>
  <si>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</si>
  <si>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</si>
  <si>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</si>
  <si>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</si>
  <si>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</si>
  <si>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</si>
  <si>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</si>
  <si>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</si>
  <si>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</si>
  <si>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</si>
  <si>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</si>
  <si>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</si>
  <si>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</si>
  <si>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</si>
  <si>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</si>
  <si>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</si>
  <si>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</si>
  <si>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</si>
  <si>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</si>
  <si>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</si>
  <si>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</si>
  <si>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</si>
  <si>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</si>
  <si>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</si>
  <si>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</si>
  <si>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</si>
  <si>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</si>
  <si>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</si>
  <si>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</si>
  <si>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</si>
  <si>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</si>
  <si>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</si>
  <si>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</si>
  <si>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</si>
  <si>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</si>
  <si>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</si>
  <si>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</si>
  <si>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</si>
  <si>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</si>
  <si>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</si>
  <si>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</si>
  <si>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</si>
  <si>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</si>
  <si>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</si>
  <si>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</si>
  <si>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</si>
  <si>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</si>
  <si>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</si>
  <si>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</si>
  <si>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</si>
  <si>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</si>
  <si>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</si>
  <si>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</si>
  <si>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</si>
  <si>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</si>
  <si>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</si>
  <si>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</si>
  <si>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</si>
  <si>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</si>
  <si>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</si>
  <si>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</si>
  <si>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</si>
  <si>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</si>
  <si>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</si>
  <si>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</si>
  <si>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</si>
  <si>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</si>
  <si>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</si>
  <si>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</si>
  <si>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</si>
  <si>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</si>
  <si>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</si>
  <si>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</si>
  <si>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</si>
  <si>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</si>
  <si>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</si>
  <si>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</si>
  <si>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</si>
  <si>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</si>
  <si>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</si>
  <si>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</si>
  <si>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</si>
  <si>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</si>
  <si>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</si>
  <si>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</si>
  <si>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</si>
  <si>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</si>
  <si>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</si>
  <si>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</si>
  <si>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</si>
  <si>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</si>
  <si>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</si>
  <si>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</si>
  <si>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</si>
  <si>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</si>
  <si>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</si>
  <si>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</si>
  <si>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</si>
  <si>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</si>
  <si>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</si>
  <si>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</si>
  <si>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</si>
  <si>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</si>
  <si>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</si>
  <si>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</si>
  <si>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</si>
  <si>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</si>
  <si>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</si>
  <si>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</si>
  <si>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</si>
  <si>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</si>
  <si>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</si>
  <si>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</si>
  <si>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</si>
  <si>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</si>
  <si>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</si>
  <si>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</si>
  <si>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</si>
  <si>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</si>
  <si>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</si>
  <si>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</si>
  <si>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</si>
  <si>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</si>
  <si>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</si>
  <si>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</si>
  <si>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</si>
  <si>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</si>
  <si>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</si>
  <si>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</si>
  <si>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</si>
  <si>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</si>
  <si>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</si>
  <si>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</si>
  <si>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</si>
  <si>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</si>
  <si>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</si>
  <si>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</si>
  <si>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</si>
  <si>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</si>
  <si>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</si>
  <si>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</si>
  <si>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</si>
  <si>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</si>
  <si>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</si>
  <si>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</si>
  <si>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</si>
  <si>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</si>
  <si>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</si>
  <si>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</si>
  <si>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</si>
  <si>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</si>
  <si>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</si>
  <si>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</si>
  <si>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</si>
  <si>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</si>
  <si>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</si>
  <si>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</si>
  <si>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</si>
  <si>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</si>
  <si>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</si>
  <si>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</si>
  <si>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</si>
  <si>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</si>
  <si>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</si>
  <si>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</si>
  <si>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</si>
  <si>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</si>
  <si>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</si>
  <si>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</si>
  <si>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</si>
  <si>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</si>
  <si>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</si>
  <si>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</si>
  <si>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</si>
  <si>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</si>
  <si>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</si>
  <si>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</si>
  <si>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</si>
  <si>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</si>
  <si>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</si>
  <si>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</si>
  <si>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</si>
  <si>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</si>
  <si>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</si>
  <si>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</si>
  <si>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</si>
  <si>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</si>
  <si>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</si>
  <si>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</si>
  <si>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</si>
  <si>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</si>
  <si>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</si>
  <si>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</si>
  <si>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</si>
  <si>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</si>
  <si>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</si>
  <si>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</si>
  <si>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</si>
  <si>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</si>
  <si>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</si>
  <si>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</si>
  <si>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</si>
  <si>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</si>
  <si>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</si>
  <si>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</si>
  <si>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</si>
  <si>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</si>
  <si>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</si>
  <si>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</si>
  <si>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</si>
  <si>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</si>
  <si>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</si>
  <si>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</si>
  <si>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</si>
  <si>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</si>
  <si>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</si>
  <si>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</si>
  <si>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</si>
  <si>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</si>
  <si>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</si>
  <si>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</si>
  <si>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</si>
  <si>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</si>
  <si>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</si>
  <si>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</si>
  <si>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</si>
  <si>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</si>
  <si>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</si>
  <si>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</si>
  <si>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</si>
  <si>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</si>
  <si>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</si>
  <si>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</si>
  <si>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</si>
  <si>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</si>
  <si>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</si>
  <si>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</si>
  <si>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</si>
  <si>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</si>
  <si>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</si>
  <si>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</si>
  <si>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</si>
  <si>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</si>
  <si>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</si>
  <si>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</si>
  <si>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</si>
  <si>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</si>
  <si>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</si>
  <si>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</si>
  <si>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</si>
  <si>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</si>
  <si>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</si>
  <si>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</si>
  <si>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</si>
  <si>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</si>
  <si>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</si>
  <si>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</si>
  <si>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</si>
  <si>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</si>
  <si>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</si>
  <si>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</si>
  <si>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</si>
  <si>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</si>
  <si>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</si>
  <si>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</si>
  <si>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</si>
  <si>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</si>
  <si>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</si>
  <si>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</si>
  <si>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</si>
  <si>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</si>
  <si>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</si>
  <si>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</si>
  <si>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</si>
  <si>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</si>
  <si>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</si>
  <si>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</si>
  <si>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</si>
  <si>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</si>
  <si>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</si>
  <si>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</si>
  <si>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</si>
  <si>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</si>
  <si>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</si>
  <si>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</si>
  <si>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</si>
  <si>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</si>
  <si>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</si>
  <si>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</si>
  <si>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</si>
  <si>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</si>
  <si>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</si>
  <si>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</si>
  <si>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</si>
  <si>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</si>
  <si>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</si>
  <si>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</si>
  <si>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</si>
  <si>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</si>
  <si>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</si>
  <si>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</si>
  <si>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</si>
  <si>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</si>
  <si>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</si>
  <si>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</si>
  <si>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</si>
  <si>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</si>
  <si>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</si>
  <si>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</si>
  <si>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</si>
  <si>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</si>
  <si>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</si>
  <si>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</si>
  <si>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</si>
  <si>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</si>
  <si>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</si>
  <si>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</si>
  <si>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</si>
  <si>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</si>
  <si>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</si>
  <si>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</si>
  <si>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</si>
  <si>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</si>
  <si>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</si>
  <si>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</si>
  <si>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</si>
  <si>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</si>
  <si>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</si>
  <si>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</si>
  <si>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</si>
  <si>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</si>
  <si>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</si>
  <si>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</si>
  <si>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</si>
  <si>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</si>
  <si>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</si>
  <si>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</si>
  <si>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</si>
  <si>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</si>
  <si>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</si>
  <si>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</si>
  <si>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</si>
  <si>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</si>
  <si>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</si>
  <si>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</si>
  <si>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</si>
  <si>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</si>
  <si>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</si>
  <si>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</si>
  <si>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</si>
  <si>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</si>
  <si>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</si>
  <si>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</si>
  <si>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</si>
  <si>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</si>
  <si>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</si>
  <si>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</si>
  <si>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</si>
  <si>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</si>
  <si>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</si>
  <si>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</si>
  <si>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</si>
  <si>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</si>
  <si>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</si>
  <si>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</si>
  <si>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</si>
  <si>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</si>
  <si>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</si>
  <si>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</si>
  <si>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</si>
  <si>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</si>
  <si>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</si>
  <si>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</si>
  <si>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</si>
  <si>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</si>
  <si>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</si>
  <si>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</si>
  <si>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</si>
  <si>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</si>
  <si>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</si>
  <si>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</si>
  <si>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</si>
  <si>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</si>
  <si>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</si>
  <si>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</si>
  <si>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</si>
  <si>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</si>
  <si>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</si>
  <si>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</si>
  <si>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</si>
  <si>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</si>
  <si>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</si>
  <si>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</si>
  <si>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</si>
  <si>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</si>
  <si>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</si>
  <si>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</si>
  <si>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</si>
  <si>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</si>
  <si>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</si>
  <si>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</si>
  <si>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</si>
  <si>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</si>
  <si>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</si>
  <si>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</si>
  <si>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</si>
  <si>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</si>
  <si>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</si>
  <si>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</si>
  <si>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</si>
  <si>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</si>
  <si>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</si>
  <si>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</si>
  <si>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</si>
  <si>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</si>
  <si>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</si>
  <si>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</si>
  <si>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</si>
  <si>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</si>
  <si>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</si>
  <si>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</si>
  <si>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</si>
  <si>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</si>
  <si>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</si>
  <si>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</si>
  <si>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</si>
  <si>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</si>
  <si>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</si>
  <si>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</si>
  <si>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</si>
  <si>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</si>
  <si>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</si>
  <si>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</si>
  <si>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</si>
  <si>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</si>
  <si>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</si>
  <si>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</si>
  <si>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</si>
  <si>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</si>
  <si>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</si>
  <si>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</si>
  <si>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</si>
  <si>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</si>
  <si>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</si>
  <si>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</si>
  <si>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</si>
  <si>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</si>
  <si>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</si>
  <si>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</si>
  <si>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</si>
  <si>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</si>
  <si>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</si>
  <si>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</si>
  <si>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</si>
  <si>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</si>
  <si>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</si>
  <si>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</si>
  <si>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</si>
  <si>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</si>
  <si>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</si>
  <si>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</si>
  <si>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</si>
  <si>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</si>
  <si>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</si>
  <si>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</si>
  <si>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</si>
  <si>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</si>
  <si>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</si>
  <si>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</si>
  <si>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</si>
  <si>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</si>
  <si>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</si>
  <si>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</si>
  <si>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</si>
  <si>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</si>
  <si>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</si>
  <si>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</si>
  <si>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</si>
  <si>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</si>
  <si>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</si>
  <si>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</si>
  <si>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</si>
  <si>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</si>
  <si>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</si>
  <si>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</si>
  <si>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</si>
  <si>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</si>
  <si>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</si>
  <si>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</si>
  <si>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</si>
  <si>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</si>
  <si>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</si>
  <si>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</si>
  <si>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</si>
  <si>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</si>
  <si>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</si>
  <si>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</si>
  <si>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</si>
  <si>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</si>
  <si>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</si>
  <si>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</si>
  <si>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</si>
  <si>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</si>
  <si>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</si>
  <si>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</si>
  <si>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</si>
  <si>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</si>
  <si>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</si>
  <si>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</si>
  <si>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</si>
  <si>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</si>
  <si>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</si>
  <si>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</si>
  <si>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</si>
  <si>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</si>
  <si>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</si>
  <si>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</si>
  <si>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</si>
  <si>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</si>
  <si>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</si>
  <si>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</si>
  <si>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</si>
  <si>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</si>
  <si>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</si>
  <si>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</si>
  <si>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</si>
  <si>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</si>
  <si>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</si>
  <si>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</si>
  <si>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</si>
  <si>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</si>
  <si>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</si>
  <si>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</si>
  <si>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</si>
  <si>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</si>
  <si>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</si>
  <si>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</si>
  <si>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</si>
  <si>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</si>
  <si>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</si>
  <si>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</si>
  <si>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</si>
  <si>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</si>
  <si>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</si>
  <si>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</si>
  <si>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</si>
  <si>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</si>
  <si>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</si>
  <si>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</si>
  <si>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</si>
  <si>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</si>
  <si>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</si>
  <si>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</si>
  <si>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</si>
  <si>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</si>
  <si>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</si>
  <si>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</si>
  <si>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</si>
  <si>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</si>
  <si>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</si>
  <si>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</si>
  <si>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</si>
  <si>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</si>
  <si>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</si>
  <si>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</si>
  <si>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</si>
  <si>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</si>
  <si>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</si>
  <si>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</si>
  <si>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</si>
  <si>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</si>
  <si>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</si>
  <si>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</si>
  <si>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</si>
  <si>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</si>
  <si>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</si>
  <si>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</si>
  <si>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</si>
  <si>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</si>
  <si>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</si>
  <si>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</si>
  <si>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</si>
  <si>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</si>
  <si>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</si>
  <si>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</si>
  <si>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</si>
  <si>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</si>
  <si>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</si>
  <si>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</si>
  <si>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</si>
  <si>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</si>
  <si>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</si>
  <si>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</si>
  <si>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</si>
  <si>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</si>
  <si>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</si>
  <si>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</si>
  <si>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</si>
  <si>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</si>
  <si>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</si>
  <si>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</si>
  <si>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</si>
  <si>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</si>
  <si>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</si>
  <si>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</si>
  <si>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</si>
  <si>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</si>
  <si>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</si>
  <si>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</si>
  <si>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</si>
  <si>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</si>
  <si>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</si>
  <si>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</si>
  <si>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</si>
  <si>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</si>
  <si>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</si>
  <si>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</si>
  <si>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</si>
  <si>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</si>
  <si>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</si>
  <si>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</si>
  <si>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</si>
  <si>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</si>
  <si>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</si>
  <si>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</si>
  <si>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</si>
  <si>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</si>
  <si>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</si>
  <si>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</si>
  <si>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</si>
  <si>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</si>
  <si>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</si>
  <si>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</si>
  <si>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</si>
  <si>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</si>
  <si>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</si>
  <si>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</si>
  <si>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</si>
  <si>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</si>
  <si>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</si>
  <si>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</si>
  <si>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</si>
  <si>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</si>
  <si>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</si>
  <si>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</si>
  <si>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</si>
  <si>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</si>
  <si>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</si>
  <si>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</si>
  <si>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</si>
  <si>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</si>
  <si>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</si>
  <si>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</si>
  <si>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</si>
  <si>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</si>
  <si>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</si>
  <si>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</si>
  <si>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</si>
  <si>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</si>
  <si>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</si>
  <si>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</si>
  <si>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</si>
  <si>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</si>
  <si>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</si>
  <si>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</si>
  <si>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</si>
  <si>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</si>
  <si>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</si>
  <si>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</si>
  <si>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</si>
  <si>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</si>
  <si>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</si>
  <si>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</si>
  <si>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</si>
  <si>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</si>
  <si>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</si>
  <si>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</si>
  <si>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</si>
  <si>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</si>
  <si>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</si>
  <si>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</si>
  <si>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</si>
  <si>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</si>
  <si>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</si>
  <si>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</si>
  <si>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</si>
  <si>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</si>
  <si>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</si>
  <si>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</si>
  <si>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</si>
  <si>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</si>
  <si>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</si>
  <si>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</si>
  <si>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</si>
  <si>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</si>
  <si>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</si>
  <si>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</si>
  <si>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</si>
  <si>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</si>
  <si>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</si>
  <si>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</si>
  <si>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</si>
  <si>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</si>
  <si>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</si>
  <si>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</si>
  <si>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</si>
  <si>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</si>
  <si>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</si>
  <si>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</si>
  <si>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</si>
  <si>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</si>
  <si>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</si>
  <si>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</si>
  <si>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</si>
  <si>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</si>
  <si>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</si>
  <si>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</si>
  <si>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</si>
  <si>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</si>
  <si>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</si>
  <si>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</si>
  <si>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</si>
  <si>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</si>
  <si>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</si>
  <si>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</si>
  <si>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</si>
  <si>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</si>
  <si>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</si>
  <si>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</si>
  <si>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</si>
  <si>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</si>
  <si>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</si>
  <si>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</si>
  <si>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</si>
  <si>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</si>
  <si>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</si>
  <si>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</si>
  <si>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</si>
  <si>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</si>
  <si>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</si>
  <si>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</si>
  <si>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</si>
  <si>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</si>
  <si>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</si>
  <si>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</si>
  <si>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</si>
  <si>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</si>
  <si>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</si>
  <si>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</si>
  <si>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</si>
  <si>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</si>
  <si>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</si>
  <si>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</si>
  <si>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</si>
  <si>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</si>
  <si>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</si>
  <si>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</si>
  <si>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</si>
  <si>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</si>
  <si>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</si>
  <si>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</si>
  <si>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</si>
  <si>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</si>
  <si>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</si>
  <si>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</si>
  <si>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</si>
  <si>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</si>
  <si>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</si>
  <si>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</si>
  <si>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</si>
  <si>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</si>
  <si>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</si>
  <si>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</si>
  <si>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</si>
  <si>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</si>
  <si>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</si>
  <si>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</si>
  <si>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</si>
  <si>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</si>
  <si>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</si>
  <si>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</si>
  <si>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</si>
  <si>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</si>
  <si>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</si>
  <si>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</si>
  <si>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</si>
  <si>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</si>
  <si>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</si>
  <si>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</si>
  <si>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</si>
  <si>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</si>
  <si>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</si>
  <si>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</si>
  <si>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</si>
  <si>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</si>
  <si>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</si>
  <si>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</si>
  <si>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</si>
  <si>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</si>
  <si>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</si>
  <si>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</si>
  <si>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</si>
  <si>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</si>
  <si>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</si>
  <si>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</si>
  <si>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</si>
  <si>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</si>
  <si>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</si>
  <si>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</si>
  <si>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</si>
  <si>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</si>
  <si>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</si>
  <si>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</si>
  <si>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</si>
  <si>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</si>
  <si>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</si>
  <si>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</si>
  <si>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</si>
  <si>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</si>
  <si>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</si>
  <si>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</si>
  <si>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</si>
  <si>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</si>
  <si>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</si>
  <si>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</si>
  <si>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</si>
  <si>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</si>
  <si>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</si>
  <si>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</si>
  <si>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</si>
  <si>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</si>
  <si>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</si>
  <si>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</si>
  <si>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</si>
  <si>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</si>
  <si>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</si>
  <si>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</si>
  <si>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</si>
  <si>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</si>
  <si>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</si>
  <si>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</si>
  <si>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</si>
  <si>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</si>
  <si>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</si>
  <si>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</si>
  <si>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</si>
  <si>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</si>
  <si>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</si>
  <si>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</si>
  <si>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</si>
  <si>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</si>
  <si>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</si>
  <si>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</si>
  <si>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</si>
  <si>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</si>
  <si>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</si>
  <si>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</si>
  <si>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</si>
  <si>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</si>
  <si>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</si>
  <si>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</si>
  <si>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</si>
  <si>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</si>
  <si>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</si>
  <si>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</si>
  <si>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</si>
  <si>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</si>
  <si>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</si>
  <si>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</si>
  <si>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</si>
  <si>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</si>
  <si>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</si>
  <si>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</si>
  <si>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</si>
  <si>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</si>
  <si>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</si>
  <si>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</si>
  <si>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</si>
  <si>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</si>
  <si>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</si>
  <si>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</si>
  <si>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</si>
  <si>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</si>
  <si>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</si>
  <si>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</si>
  <si>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</si>
  <si>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</si>
  <si>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</si>
  <si>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</si>
  <si>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</si>
  <si>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</si>
  <si>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</si>
  <si>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</si>
  <si>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</si>
  <si>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</si>
  <si>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</si>
  <si>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</si>
  <si>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</si>
  <si>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</si>
  <si>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</si>
  <si>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</si>
  <si>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</si>
  <si>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</si>
  <si>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</si>
  <si>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</si>
  <si>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</si>
  <si>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</si>
  <si>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</si>
  <si>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</si>
  <si>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</si>
  <si>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</si>
  <si>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</si>
  <si>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</si>
  <si>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</si>
  <si>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</si>
  <si>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</si>
  <si>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</si>
  <si>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</si>
  <si>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</si>
  <si>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</si>
  <si>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</si>
  <si>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</si>
  <si>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</si>
  <si>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</si>
  <si>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</si>
  <si>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</si>
  <si>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</si>
  <si>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</si>
  <si>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</si>
  <si>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</si>
  <si>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</si>
  <si>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</si>
  <si>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</si>
  <si>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</si>
  <si>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</si>
  <si>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</si>
  <si>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</si>
  <si>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</si>
  <si>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</si>
  <si>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</si>
  <si>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</si>
  <si>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</si>
  <si>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</si>
  <si>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</si>
  <si>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</si>
  <si>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</si>
  <si>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</si>
  <si>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</si>
  <si>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</si>
  <si>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</si>
  <si>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</si>
  <si>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</si>
  <si>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</si>
  <si>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</si>
  <si>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</si>
  <si>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</si>
  <si>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</si>
  <si>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</si>
  <si>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</si>
  <si>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</si>
  <si>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</si>
  <si>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</si>
  <si>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</si>
  <si>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</si>
  <si>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</si>
  <si>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</si>
  <si>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</si>
  <si>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</si>
  <si>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</si>
  <si>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</si>
  <si>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</si>
  <si>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</si>
  <si>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</si>
  <si>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</si>
  <si>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</si>
  <si>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</si>
  <si>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</si>
  <si>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</si>
  <si>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</si>
  <si>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</si>
  <si>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</si>
  <si>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</si>
  <si>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</si>
  <si>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</si>
  <si>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</si>
  <si>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</si>
  <si>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</si>
  <si>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</si>
  <si>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</si>
  <si>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</si>
  <si>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</si>
  <si>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</si>
  <si>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</si>
  <si>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</si>
  <si>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</si>
  <si>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</si>
  <si>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</si>
  <si>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</si>
  <si>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</si>
  <si>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</si>
  <si>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</si>
  <si>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</si>
  <si>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</si>
  <si>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</si>
  <si>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</si>
  <si>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</si>
  <si>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</si>
  <si>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</si>
  <si>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</si>
  <si>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</si>
  <si>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</si>
  <si>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</si>
  <si>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</si>
  <si>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</si>
  <si>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</si>
  <si>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</si>
  <si>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</si>
  <si>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</si>
  <si>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</si>
  <si>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</si>
  <si>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</si>
  <si>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</si>
  <si>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</si>
  <si>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</si>
  <si>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</si>
  <si>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</si>
  <si>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</si>
  <si>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</si>
  <si>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</si>
  <si>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</si>
  <si>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</si>
  <si>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</si>
  <si>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</si>
  <si>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</si>
  <si>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</si>
  <si>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</si>
  <si>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</si>
  <si>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</si>
  <si>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</si>
  <si>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</si>
  <si>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</si>
  <si>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</si>
  <si>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</si>
  <si>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</si>
  <si>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</si>
  <si>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</si>
  <si>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</si>
  <si>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</si>
  <si>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</si>
  <si>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</si>
  <si>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</si>
  <si>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</si>
  <si>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</si>
  <si>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</si>
  <si>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</si>
  <si>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</si>
  <si>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</si>
  <si>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</si>
  <si>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</si>
  <si>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</si>
  <si>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</si>
  <si>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</si>
  <si>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</si>
  <si>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</si>
  <si>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</si>
  <si>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</si>
  <si>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</si>
  <si>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</si>
  <si>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</si>
  <si>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</si>
  <si>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</si>
  <si>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</si>
  <si>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</si>
  <si>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</si>
  <si>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</si>
  <si>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</si>
  <si>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</si>
  <si>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</si>
  <si>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</si>
  <si>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</si>
  <si>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</si>
  <si>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</si>
  <si>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</si>
  <si>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</si>
  <si>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</si>
  <si>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</si>
  <si>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</si>
  <si>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</si>
  <si>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</si>
  <si>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</si>
  <si>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</si>
  <si>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</si>
  <si>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</si>
  <si>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</si>
  <si>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</si>
  <si>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</si>
  <si>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</si>
  <si>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</si>
  <si>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</si>
  <si>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</si>
  <si>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</si>
  <si>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</si>
  <si>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</si>
  <si>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</si>
  <si>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</si>
  <si>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</si>
  <si>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</si>
  <si>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</si>
  <si>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</si>
  <si>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</si>
  <si>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</si>
  <si>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</si>
  <si>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</si>
  <si>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</si>
  <si>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</si>
  <si>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</si>
  <si>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</si>
  <si>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</si>
  <si>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</si>
  <si>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</si>
  <si>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</si>
  <si>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</si>
  <si>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</si>
  <si>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</si>
  <si>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</si>
  <si>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</si>
  <si>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</si>
  <si>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</si>
  <si>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</si>
  <si>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</si>
  <si>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</si>
  <si>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</si>
  <si>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</si>
  <si>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</si>
  <si>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</si>
  <si>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</si>
  <si>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</si>
  <si>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</si>
  <si>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</si>
  <si>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</si>
  <si>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</si>
  <si>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</si>
  <si>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</si>
  <si>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</si>
  <si>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</si>
  <si>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</si>
  <si>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</si>
  <si>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</si>
  <si>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</si>
  <si>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</si>
  <si>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</si>
  <si>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</si>
  <si>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</si>
  <si>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</si>
  <si>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</si>
  <si>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</si>
  <si>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</si>
  <si>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</si>
  <si>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</si>
  <si>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</si>
  <si>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</si>
  <si>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</si>
  <si>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</si>
  <si>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</si>
  <si>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</si>
  <si>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</si>
  <si>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</si>
  <si>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</si>
  <si>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</si>
  <si>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</si>
  <si>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</si>
  <si>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</si>
  <si>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</si>
  <si>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</si>
  <si>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</si>
  <si>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</si>
  <si>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</si>
  <si>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</si>
  <si>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</si>
  <si>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</si>
  <si>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</si>
  <si>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</si>
  <si>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</si>
  <si>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</si>
  <si>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</si>
  <si>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</si>
  <si>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</si>
  <si>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</si>
  <si>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</si>
  <si>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</si>
  <si>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</si>
  <si>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</si>
  <si>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</si>
  <si>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</si>
  <si>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</si>
  <si>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</si>
  <si>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</si>
  <si>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</si>
  <si>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</si>
  <si>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</si>
  <si>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</si>
  <si>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</si>
  <si>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</si>
  <si>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</si>
  <si>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</si>
  <si>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</si>
  <si>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</si>
  <si>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</si>
  <si>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</si>
  <si>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</si>
  <si>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</si>
  <si>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</si>
  <si>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</si>
  <si>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</si>
  <si>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</si>
  <si>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</si>
  <si>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</si>
  <si>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</si>
  <si>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</si>
  <si>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</si>
  <si>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</si>
  <si>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</si>
  <si>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</si>
  <si>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</si>
  <si>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</si>
  <si>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</si>
  <si>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</si>
  <si>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</si>
  <si>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</si>
  <si>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</si>
  <si>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</si>
  <si>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</si>
  <si>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</si>
  <si>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</si>
  <si>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</si>
  <si>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</si>
  <si>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</si>
  <si>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</si>
  <si>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</si>
  <si>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</si>
  <si>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</si>
  <si>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</si>
  <si>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</si>
  <si>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</si>
  <si>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</si>
  <si>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</si>
  <si>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</si>
  <si>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</si>
  <si>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</si>
  <si>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</si>
  <si>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</si>
  <si>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</si>
  <si>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</si>
  <si>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</si>
  <si>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</si>
  <si>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</si>
  <si>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</si>
  <si>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</si>
  <si>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</si>
  <si>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</si>
  <si>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</si>
  <si>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</si>
  <si>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</si>
  <si>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</si>
  <si>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</si>
  <si>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</si>
  <si>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</si>
  <si>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</si>
  <si>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</si>
  <si>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</si>
  <si>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</si>
  <si>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</si>
  <si>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</si>
  <si>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</si>
  <si>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</si>
  <si>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</si>
  <si>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</si>
  <si>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</si>
  <si>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</si>
  <si>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</si>
  <si>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</si>
  <si>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</si>
  <si>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</si>
  <si>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</si>
  <si>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</si>
  <si>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</si>
  <si>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</si>
  <si>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</si>
  <si>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</si>
  <si>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</si>
  <si>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</si>
  <si>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</si>
  <si>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</si>
  <si>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</si>
  <si>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</si>
  <si>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</si>
  <si>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</si>
  <si>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</si>
  <si>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</si>
  <si>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</si>
  <si>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</si>
  <si>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</si>
  <si>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</si>
  <si>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</si>
  <si>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</si>
  <si>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</si>
  <si>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</si>
  <si>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</si>
  <si>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</si>
  <si>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</si>
  <si>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</si>
  <si>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</si>
  <si>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</si>
  <si>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</si>
  <si>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</si>
  <si>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</si>
  <si>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</si>
  <si>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</si>
  <si>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</si>
  <si>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</si>
  <si>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</si>
  <si>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</si>
  <si>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</si>
  <si>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</si>
  <si>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</si>
  <si>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</si>
  <si>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</si>
  <si>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</si>
  <si>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</si>
  <si>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</si>
  <si>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</si>
  <si>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</si>
  <si>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</si>
  <si>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</si>
  <si>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</si>
  <si>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</si>
  <si>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</si>
  <si>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</si>
  <si>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</si>
  <si>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</si>
  <si>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</si>
  <si>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</si>
  <si>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</si>
  <si>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</si>
  <si>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</si>
  <si>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</si>
  <si>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</si>
  <si>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</si>
  <si>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</si>
  <si>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</si>
  <si>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</si>
  <si>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</si>
  <si>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</si>
  <si>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</si>
  <si>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</si>
  <si>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</si>
  <si>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</si>
  <si>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</si>
  <si>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</si>
  <si>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</si>
  <si>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</si>
  <si>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</si>
  <si>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</si>
  <si>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</si>
  <si>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</si>
  <si>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</si>
  <si>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</si>
  <si>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</si>
  <si>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</si>
  <si>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</si>
  <si>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</si>
  <si>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</si>
  <si>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</si>
  <si>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</si>
  <si>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</si>
  <si>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</si>
  <si>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</si>
  <si>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</si>
  <si>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</si>
  <si>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</si>
  <si>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</si>
  <si>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</si>
  <si>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</si>
  <si>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</si>
  <si>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</si>
  <si>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</si>
  <si>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</si>
  <si>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</si>
  <si>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</si>
  <si>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</si>
  <si>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</si>
  <si>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</si>
  <si>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</si>
  <si>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</si>
  <si>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</si>
  <si>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</si>
  <si>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</si>
  <si>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</si>
  <si>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</si>
  <si>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</si>
  <si>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</si>
  <si>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</si>
  <si>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</si>
  <si>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</si>
  <si>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</si>
  <si>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</si>
  <si>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</si>
  <si>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</si>
  <si>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</si>
  <si>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</si>
  <si>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</si>
  <si>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</si>
  <si>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</si>
  <si>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</si>
  <si>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</si>
  <si>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</si>
  <si>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</si>
  <si>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</si>
  <si>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</si>
  <si>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</si>
  <si>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</si>
  <si>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</si>
  <si>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</si>
  <si>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</si>
  <si>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</si>
  <si>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</si>
  <si>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</si>
  <si>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</si>
  <si>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</si>
  <si>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</si>
  <si>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</si>
  <si>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</si>
  <si>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</si>
  <si>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</si>
  <si>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</si>
  <si>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</si>
  <si>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</si>
  <si>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</si>
  <si>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</si>
  <si>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</si>
  <si>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</si>
  <si>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</si>
  <si>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</si>
  <si>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</si>
  <si>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</si>
  <si>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</si>
  <si>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</si>
  <si>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</si>
  <si>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</si>
  <si>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</si>
  <si>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</si>
  <si>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</si>
  <si>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</si>
  <si>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</si>
  <si>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</si>
  <si>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</si>
  <si>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</si>
  <si>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</si>
  <si>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</si>
  <si>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</si>
  <si>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</si>
  <si>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</si>
  <si>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</si>
  <si>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</si>
  <si>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</si>
  <si>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</si>
  <si>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</si>
  <si>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</si>
  <si>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</si>
  <si>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</si>
  <si>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</si>
  <si>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</si>
  <si>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</si>
  <si>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</si>
  <si>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</si>
  <si>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</si>
  <si>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</si>
  <si>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</si>
  <si>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</si>
  <si>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</si>
  <si>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</si>
  <si>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</si>
  <si>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</si>
  <si>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</si>
  <si>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</si>
  <si>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</si>
  <si>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</si>
  <si>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</si>
  <si>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</si>
  <si>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</si>
  <si>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</si>
  <si>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</si>
  <si>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</si>
  <si>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</si>
  <si>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</si>
  <si>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</si>
  <si>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</si>
  <si>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</si>
  <si>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</si>
  <si>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</si>
  <si>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</si>
  <si>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</si>
  <si>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</si>
  <si>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</si>
  <si>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</si>
  <si>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</si>
  <si>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</si>
  <si>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</si>
  <si>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</si>
  <si>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</si>
  <si>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</si>
  <si>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</si>
  <si>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</si>
  <si>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</si>
  <si>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</si>
  <si>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</si>
  <si>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</si>
  <si>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</si>
  <si>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</si>
  <si>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</si>
  <si>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</si>
  <si>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</si>
  <si>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</si>
  <si>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</si>
  <si>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</si>
  <si>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</si>
  <si>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</si>
  <si>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</si>
  <si>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</si>
  <si>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</si>
  <si>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</si>
  <si>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</si>
  <si>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</si>
  <si>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</si>
  <si>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</si>
  <si>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</si>
  <si>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</si>
  <si>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</si>
  <si>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</si>
  <si>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</si>
  <si>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</si>
  <si>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</si>
  <si>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</si>
  <si>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</si>
  <si>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</si>
  <si>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</si>
  <si>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</si>
  <si>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</si>
  <si>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</si>
  <si>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</si>
  <si>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</si>
  <si>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</si>
  <si>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</si>
  <si>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</si>
  <si>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</si>
  <si>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</si>
  <si>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</si>
  <si>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</si>
  <si>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</si>
  <si>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</si>
  <si>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</si>
  <si>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</si>
  <si>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</si>
  <si>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</si>
  <si>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</si>
  <si>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</si>
  <si>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</si>
  <si>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</si>
  <si>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</si>
  <si>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</si>
  <si>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</si>
  <si>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</si>
  <si>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</si>
  <si>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</si>
  <si>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</si>
  <si>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</si>
  <si>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</si>
  <si>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</si>
  <si>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</si>
  <si>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</si>
  <si>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</si>
  <si>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</si>
  <si>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</si>
  <si>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</si>
  <si>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</si>
  <si>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</si>
  <si>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</si>
  <si>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</si>
  <si>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</si>
  <si>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</si>
  <si>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</si>
  <si>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</si>
  <si>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</si>
  <si>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</si>
  <si>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</si>
  <si>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</si>
  <si>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</si>
  <si>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</si>
  <si>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</si>
  <si>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</si>
  <si>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</si>
  <si>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</si>
  <si>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</si>
  <si>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</si>
  <si>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</si>
  <si>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</si>
  <si>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</si>
  <si>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</si>
  <si>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</si>
  <si>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</si>
  <si>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</si>
  <si>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</si>
  <si>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</si>
  <si>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</si>
  <si>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</si>
  <si>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</si>
  <si>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</si>
  <si>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</si>
  <si>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</si>
  <si>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</si>
  <si>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</si>
  <si>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</si>
  <si>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</si>
  <si>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</si>
  <si>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</si>
  <si>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</si>
  <si>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</si>
  <si>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</si>
  <si>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</si>
  <si>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</si>
  <si>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</si>
  <si>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</si>
  <si>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</si>
  <si>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</si>
  <si>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</si>
  <si>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</si>
  <si>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</si>
  <si>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</si>
  <si>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</si>
  <si>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</si>
  <si>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</si>
  <si>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</si>
  <si>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</si>
  <si>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</si>
  <si>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</si>
  <si>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</si>
  <si>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</si>
  <si>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</si>
  <si>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</si>
  <si>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</si>
  <si>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</si>
  <si>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</si>
  <si>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</si>
  <si>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</si>
  <si>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</si>
  <si>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</si>
  <si>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</si>
  <si>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</si>
  <si>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</si>
  <si>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</si>
  <si>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</si>
  <si>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</si>
  <si>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</si>
  <si>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</si>
  <si>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</si>
  <si>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</si>
  <si>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</si>
  <si>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</si>
  <si>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</si>
  <si>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</si>
  <si>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</si>
  <si>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</si>
  <si>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</si>
  <si>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</si>
  <si>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</si>
  <si>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</si>
  <si>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</si>
  <si>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</si>
  <si>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</si>
  <si>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</si>
  <si>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</si>
  <si>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</si>
  <si>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</si>
  <si>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</si>
  <si>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</si>
  <si>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</si>
  <si>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</si>
  <si>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</si>
  <si>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</si>
  <si>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</si>
  <si>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</si>
  <si>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</si>
  <si>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</si>
  <si>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</si>
  <si>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</si>
  <si>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</si>
  <si>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</si>
  <si>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</si>
  <si>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</si>
  <si>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</si>
  <si>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</si>
  <si>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</si>
  <si>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</si>
  <si>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</si>
  <si>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</si>
  <si>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</si>
  <si>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</si>
  <si>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</si>
  <si>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</si>
  <si>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</si>
  <si>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</si>
  <si>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</si>
  <si>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</si>
  <si>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</si>
  <si>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</si>
  <si>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</si>
  <si>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</si>
  <si>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</si>
  <si>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</si>
  <si>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</si>
  <si>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</si>
  <si>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</si>
  <si>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</si>
  <si>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</si>
  <si>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</si>
  <si>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</si>
  <si>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</si>
  <si>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</si>
  <si>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</si>
  <si>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</si>
  <si>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</si>
  <si>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</si>
  <si>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</si>
  <si>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</si>
  <si>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</si>
  <si>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</si>
  <si>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</si>
  <si>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</si>
  <si>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</si>
  <si>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</si>
  <si>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</si>
  <si>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</si>
  <si>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</si>
  <si>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</si>
  <si>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</si>
  <si>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</si>
  <si>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</si>
  <si>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</si>
  <si>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</si>
  <si>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</si>
  <si>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</si>
  <si>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</si>
  <si>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</si>
  <si>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</si>
  <si>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</si>
  <si>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</si>
  <si>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</si>
  <si>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</si>
  <si>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</si>
  <si>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</si>
  <si>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</si>
  <si>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</si>
  <si>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</si>
  <si>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</si>
  <si>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</si>
  <si>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</si>
  <si>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</si>
  <si>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</si>
  <si>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</si>
  <si>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</si>
  <si>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</si>
  <si>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</si>
  <si>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</si>
  <si>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</si>
  <si>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</si>
  <si>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</si>
  <si>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</si>
  <si>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</si>
  <si>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</si>
  <si>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</si>
  <si>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</si>
  <si>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</si>
  <si>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</si>
  <si>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</si>
  <si>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</si>
  <si>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</si>
  <si>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</si>
  <si>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</si>
  <si>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</si>
  <si>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</si>
  <si>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</si>
  <si>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</si>
  <si>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</si>
  <si>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</si>
  <si>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</si>
  <si>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</si>
  <si>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</si>
  <si>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</si>
  <si>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</si>
  <si>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</si>
  <si>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</si>
  <si>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</si>
  <si>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</si>
  <si>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</si>
  <si>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</si>
  <si>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</si>
  <si>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</si>
  <si>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</si>
  <si>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</si>
  <si>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</si>
  <si>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</si>
  <si>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</si>
  <si>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</si>
  <si>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</si>
  <si>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</si>
  <si>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</si>
  <si>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</si>
  <si>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</si>
  <si>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</si>
  <si>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</si>
  <si>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</si>
  <si>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</si>
  <si>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</si>
  <si>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</si>
  <si>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</si>
  <si>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</si>
  <si>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</si>
  <si>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</si>
  <si>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</si>
  <si>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</si>
  <si>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</si>
  <si>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</si>
  <si>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</si>
  <si>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</si>
  <si>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</si>
  <si>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</si>
  <si>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</si>
  <si>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</si>
  <si>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</si>
  <si>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</si>
  <si>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</si>
  <si>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</si>
  <si>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</si>
  <si>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</si>
  <si>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</si>
  <si>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</si>
  <si>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</si>
  <si>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</si>
  <si>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</si>
  <si>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</si>
  <si>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</si>
  <si>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</si>
  <si>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</si>
  <si>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</si>
  <si>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</si>
  <si>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</si>
  <si>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</si>
  <si>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</si>
  <si>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</si>
  <si>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</si>
  <si>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</si>
  <si>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</si>
  <si>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</si>
  <si>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</si>
  <si>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</si>
  <si>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</si>
  <si>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</si>
  <si>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</si>
  <si>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</si>
  <si>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</si>
  <si>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</si>
  <si>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</si>
  <si>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</si>
  <si>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</si>
  <si>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</si>
  <si>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</si>
  <si>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</si>
  <si>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</si>
  <si>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</si>
  <si>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</si>
  <si>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</si>
  <si>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</si>
  <si>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</si>
  <si>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</si>
  <si>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</si>
  <si>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</si>
  <si>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</si>
  <si>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</si>
  <si>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</si>
  <si>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</si>
  <si>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</si>
  <si>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</si>
  <si>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</si>
  <si>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</si>
  <si>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</si>
  <si>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</si>
  <si>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</si>
  <si>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</si>
  <si>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</si>
  <si>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</si>
  <si>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</si>
  <si>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</si>
  <si>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</si>
  <si>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</si>
  <si>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</si>
  <si>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</si>
  <si>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</si>
  <si>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</si>
  <si>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</si>
  <si>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</si>
  <si>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</si>
  <si>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</si>
  <si>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</si>
  <si>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</si>
  <si>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</si>
  <si>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</si>
  <si>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</si>
  <si>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</si>
  <si>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</si>
  <si>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</si>
  <si>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</si>
  <si>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</si>
  <si>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</si>
  <si>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</si>
  <si>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</si>
  <si>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</si>
  <si>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</si>
  <si>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</si>
  <si>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</si>
  <si>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</si>
  <si>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</si>
  <si>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</si>
  <si>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</si>
  <si>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</si>
  <si>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</si>
  <si>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</si>
  <si>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</si>
  <si>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</si>
  <si>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</si>
  <si>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</si>
  <si>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</si>
  <si>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</si>
  <si>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</si>
  <si>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</si>
  <si>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</si>
  <si>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</si>
  <si>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</si>
  <si>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</si>
  <si>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</si>
  <si>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</si>
  <si>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</si>
  <si>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</si>
  <si>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</si>
  <si>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</si>
  <si>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</si>
  <si>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</si>
  <si>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</si>
  <si>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</si>
  <si>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</si>
  <si>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</si>
  <si>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</si>
  <si>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</si>
  <si>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</si>
  <si>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</si>
  <si>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</si>
  <si>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</si>
  <si>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</si>
  <si>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</si>
  <si>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</si>
  <si>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</si>
  <si>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</si>
  <si>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</si>
  <si>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</si>
  <si>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</si>
  <si>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</si>
  <si>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</si>
  <si>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</si>
  <si>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</si>
  <si>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</si>
  <si>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</si>
  <si>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</si>
  <si>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</si>
  <si>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</si>
  <si>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</si>
  <si>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</si>
  <si>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</si>
  <si>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</si>
  <si>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</si>
  <si>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</si>
  <si>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</si>
  <si>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</si>
  <si>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</si>
  <si>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</si>
  <si>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</si>
  <si>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</si>
  <si>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</si>
  <si>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</si>
  <si>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</si>
  <si>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</si>
  <si>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</si>
  <si>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</si>
  <si>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</si>
  <si>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</si>
  <si>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</si>
  <si>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</si>
  <si>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</si>
  <si>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</si>
  <si>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</si>
  <si>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</si>
  <si>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</si>
  <si>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</si>
  <si>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</si>
  <si>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</si>
  <si>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</si>
  <si>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</si>
  <si>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</si>
  <si>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</si>
  <si>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</si>
  <si>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</si>
  <si>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</si>
  <si>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</si>
  <si>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</si>
  <si>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</si>
  <si>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</si>
  <si>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</si>
  <si>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</si>
  <si>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</si>
  <si>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</si>
  <si>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</si>
  <si>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</si>
  <si>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</si>
  <si>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</si>
  <si>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</si>
  <si>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</si>
  <si>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</si>
  <si>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</si>
  <si>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</si>
  <si>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</si>
  <si>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</si>
  <si>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</si>
  <si>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</si>
  <si>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</si>
  <si>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</si>
  <si>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</si>
  <si>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</si>
  <si>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</si>
  <si>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</si>
  <si>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</si>
  <si>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</si>
  <si>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</si>
  <si>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</si>
  <si>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</si>
  <si>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</si>
  <si>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</si>
  <si>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</si>
  <si>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</si>
  <si>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</si>
  <si>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</si>
  <si>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</si>
  <si>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</si>
  <si>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</si>
  <si>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</si>
  <si>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</si>
  <si>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</si>
  <si>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</si>
  <si>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</si>
  <si>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</si>
  <si>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</si>
  <si>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</si>
  <si>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</si>
  <si>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</si>
  <si>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</si>
  <si>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</si>
  <si>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</si>
  <si>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</si>
  <si>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</si>
  <si>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</si>
  <si>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</si>
  <si>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</si>
  <si>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</si>
  <si>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</si>
  <si>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</si>
  <si>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</si>
  <si>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</si>
  <si>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</si>
  <si>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</si>
  <si>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</si>
  <si>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</si>
  <si>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</si>
  <si>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</si>
  <si>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</si>
  <si>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</si>
  <si>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</si>
  <si>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</si>
  <si>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</si>
  <si>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</si>
  <si>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</si>
  <si>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</si>
  <si>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</si>
  <si>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</si>
  <si>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</si>
  <si>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</si>
  <si>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</si>
  <si>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</si>
  <si>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</si>
  <si>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</si>
  <si>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</si>
  <si>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</si>
  <si>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</si>
  <si>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</si>
  <si>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</si>
  <si>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</si>
  <si>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</si>
  <si>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</si>
  <si>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</si>
  <si>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</si>
  <si>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</si>
  <si>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</si>
  <si>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</si>
  <si>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</si>
  <si>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</si>
  <si>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</si>
  <si>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</si>
  <si>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</si>
  <si>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</si>
  <si>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</si>
  <si>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</si>
  <si>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</si>
  <si>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</si>
  <si>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</si>
  <si>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</si>
  <si>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</si>
  <si>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</si>
  <si>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</si>
  <si>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</si>
  <si>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</si>
  <si>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</si>
  <si>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</si>
  <si>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</si>
  <si>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</si>
  <si>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</si>
  <si>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</si>
  <si>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</si>
  <si>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</si>
  <si>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</si>
  <si>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</si>
  <si>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</si>
  <si>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</si>
  <si>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</si>
  <si>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</si>
  <si>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</si>
  <si>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</si>
  <si>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</si>
  <si>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</si>
  <si>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</si>
  <si>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</si>
  <si>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</si>
  <si>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</si>
  <si>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</si>
  <si>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</si>
  <si>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</si>
  <si>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</si>
  <si>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</si>
  <si>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</si>
  <si>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</si>
  <si>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</si>
  <si>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</si>
  <si>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</si>
  <si>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</si>
  <si>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</si>
  <si>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</si>
  <si>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</si>
  <si>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</si>
  <si>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</si>
  <si>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</si>
  <si>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</si>
  <si>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</si>
  <si>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</si>
  <si>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</si>
  <si>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</si>
  <si>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</si>
  <si>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</si>
  <si>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</si>
  <si>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</si>
  <si>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</si>
  <si>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</si>
  <si>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</si>
  <si>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</si>
  <si>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</si>
  <si>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</si>
  <si>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</si>
  <si>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</si>
  <si>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</si>
  <si>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</si>
  <si>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</si>
  <si>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</si>
  <si>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</si>
  <si>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</si>
  <si>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</si>
  <si>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</si>
  <si>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</si>
  <si>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</si>
  <si>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</si>
  <si>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</si>
  <si>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</si>
  <si>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</si>
  <si>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</si>
  <si>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</si>
  <si>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</si>
  <si>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</si>
  <si>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</si>
  <si>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</si>
  <si>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</si>
  <si>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</si>
  <si>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</si>
  <si>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</si>
  <si>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</si>
  <si>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</si>
  <si>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</si>
  <si>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</si>
  <si>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</si>
  <si>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</si>
  <si>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</si>
  <si>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</si>
  <si>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</si>
  <si>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</si>
  <si>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</si>
  <si>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</si>
  <si>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</si>
  <si>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</si>
  <si>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</si>
  <si>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</si>
  <si>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</si>
  <si>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</si>
  <si>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</si>
  <si>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</si>
  <si>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</si>
  <si>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</si>
  <si>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</si>
  <si>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</si>
  <si>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</si>
  <si>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</si>
  <si>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</si>
  <si>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</si>
  <si>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</si>
  <si>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</si>
  <si>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</si>
  <si>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</si>
  <si>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</si>
  <si>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</si>
  <si>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</si>
  <si>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</si>
  <si>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</si>
  <si>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</si>
  <si>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</si>
  <si>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</si>
  <si>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</si>
  <si>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</si>
  <si>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</si>
  <si>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</si>
  <si>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</si>
  <si>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</si>
  <si>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</si>
  <si>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</si>
  <si>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</si>
  <si>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</si>
  <si>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</si>
  <si>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</si>
  <si>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</si>
  <si>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</si>
  <si>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</si>
  <si>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</si>
  <si>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</si>
  <si>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</si>
  <si>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</si>
  <si>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</si>
  <si>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</si>
  <si>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</si>
  <si>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</si>
  <si>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</si>
  <si>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</si>
  <si>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</si>
  <si>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</si>
  <si>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</si>
  <si>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</si>
  <si>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</si>
  <si>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</si>
  <si>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</si>
  <si>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</si>
  <si>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</si>
  <si>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</si>
  <si>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</si>
  <si>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</si>
  <si>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</si>
  <si>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</si>
  <si>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</si>
  <si>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</si>
  <si>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</si>
  <si>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</si>
  <si>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</si>
  <si>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</si>
  <si>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</si>
  <si>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</si>
  <si>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</si>
  <si>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</si>
  <si>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</si>
  <si>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</si>
  <si>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</si>
  <si>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</si>
  <si>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</si>
  <si>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</si>
  <si>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</si>
  <si>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</si>
  <si>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</si>
  <si>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</si>
  <si>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</si>
  <si>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</si>
  <si>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</si>
  <si>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</si>
  <si>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</si>
  <si>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</si>
  <si>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</si>
  <si>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</si>
  <si>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</si>
  <si>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</si>
  <si>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</si>
  <si>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</si>
  <si>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</si>
  <si>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</si>
  <si>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</si>
  <si>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</si>
  <si>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</si>
  <si>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</si>
  <si>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</si>
  <si>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</si>
  <si>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</si>
  <si>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</si>
  <si>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</si>
  <si>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</si>
  <si>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</si>
  <si>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</si>
  <si>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</si>
  <si>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</si>
  <si>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</si>
  <si>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</si>
  <si>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</si>
  <si>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</si>
  <si>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</si>
  <si>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</si>
  <si>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</si>
  <si>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</si>
  <si>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</si>
  <si>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</si>
  <si>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</si>
  <si>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</si>
  <si>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</si>
  <si>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</si>
  <si>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</si>
  <si>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</si>
  <si>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</si>
  <si>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</si>
  <si>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</si>
  <si>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</si>
  <si>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</si>
  <si>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</si>
  <si>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</si>
  <si>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</si>
  <si>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</si>
  <si>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</si>
  <si>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</si>
  <si>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</si>
  <si>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</si>
  <si>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</si>
  <si>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</si>
  <si>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</si>
  <si>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</si>
  <si>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</si>
  <si>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</si>
  <si>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</si>
  <si>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</si>
  <si>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</si>
  <si>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</si>
  <si>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</si>
  <si>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</si>
  <si>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</si>
  <si>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</si>
  <si>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</si>
  <si>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</si>
  <si>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</si>
  <si>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</si>
  <si>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</si>
  <si>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</si>
  <si>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</si>
  <si>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</si>
  <si>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</si>
  <si>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</si>
  <si>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</si>
  <si>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</si>
  <si>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</si>
  <si>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</si>
  <si>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</si>
  <si>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</si>
  <si>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</si>
  <si>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</si>
  <si>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</si>
  <si>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</si>
  <si>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</si>
  <si>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</si>
  <si>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</si>
  <si>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</si>
  <si>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</si>
  <si>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</si>
  <si>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</si>
  <si>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</si>
  <si>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</si>
  <si>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</si>
  <si>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</si>
  <si>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</si>
  <si>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</si>
  <si>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</si>
  <si>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</si>
  <si>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</si>
  <si>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</si>
  <si>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</si>
  <si>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</si>
  <si>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</si>
  <si>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</si>
  <si>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</si>
  <si>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</si>
  <si>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</si>
  <si>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</si>
  <si>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</si>
  <si>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</si>
  <si>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</si>
  <si>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</si>
  <si>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</si>
  <si>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</si>
  <si>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</si>
  <si>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</si>
  <si>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</si>
  <si>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</si>
  <si>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</si>
  <si>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</si>
  <si>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</si>
  <si>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</si>
  <si>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</si>
  <si>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</si>
  <si>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</si>
  <si>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</si>
  <si>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</si>
  <si>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</si>
  <si>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</si>
  <si>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</si>
  <si>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</si>
  <si>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</si>
  <si>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</si>
  <si>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</si>
  <si>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</si>
  <si>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</si>
  <si>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</si>
  <si>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</si>
  <si>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</si>
  <si>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</si>
  <si>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</si>
  <si>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</si>
  <si>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</si>
  <si>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</si>
  <si>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</si>
  <si>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</si>
  <si>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</si>
  <si>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</si>
  <si>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</si>
  <si>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</si>
  <si>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</si>
  <si>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</si>
  <si>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</si>
  <si>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</si>
  <si>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</si>
  <si>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</si>
  <si>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</si>
  <si>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</si>
  <si>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</si>
  <si>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</si>
  <si>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</si>
  <si>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</si>
  <si>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</si>
  <si>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</si>
  <si>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</si>
  <si>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</si>
  <si>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</si>
  <si>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</si>
  <si>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</si>
  <si>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</si>
  <si>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</si>
  <si>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</si>
  <si>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</si>
  <si>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</si>
  <si>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</si>
  <si>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</si>
  <si>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</si>
  <si>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</si>
  <si>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</si>
  <si>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</si>
  <si>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</si>
  <si>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</si>
  <si>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</si>
  <si>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</si>
  <si>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</si>
  <si>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</si>
  <si>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</si>
  <si>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</si>
  <si>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</si>
  <si>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</si>
  <si>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</si>
  <si>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</si>
  <si>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</si>
  <si>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</si>
  <si>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</si>
  <si>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</si>
  <si>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</si>
  <si>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</si>
  <si>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</si>
  <si>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</si>
  <si>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</si>
  <si>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</si>
  <si>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</si>
  <si>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</si>
  <si>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</si>
  <si>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</si>
  <si>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</si>
  <si>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</si>
  <si>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</si>
  <si>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</si>
  <si>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</si>
  <si>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</si>
  <si>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</si>
  <si>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</si>
  <si>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</si>
  <si>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</si>
  <si>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</si>
  <si>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</si>
  <si>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</si>
  <si>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</si>
  <si>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</si>
  <si>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</si>
  <si>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</si>
  <si>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</si>
  <si>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</si>
  <si>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</si>
  <si>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</si>
  <si>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</si>
  <si>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</si>
  <si>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</si>
  <si>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</si>
  <si>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</si>
  <si>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</si>
  <si>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</si>
  <si>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</si>
  <si>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</si>
  <si>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</si>
  <si>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</si>
  <si>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</si>
  <si>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</si>
  <si>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</si>
  <si>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</si>
  <si>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</si>
  <si>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</si>
  <si>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</si>
  <si>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</si>
  <si>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</si>
  <si>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</si>
  <si>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</si>
  <si>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</si>
  <si>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</si>
  <si>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</si>
  <si>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</si>
  <si>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</si>
  <si>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</si>
  <si>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</si>
  <si>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</si>
  <si>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</si>
  <si>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</si>
  <si>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</si>
  <si>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</si>
  <si>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</si>
  <si>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</si>
  <si>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</si>
  <si>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</si>
  <si>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</si>
  <si>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</si>
  <si>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</si>
  <si>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</si>
  <si>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</si>
  <si>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</si>
  <si>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</si>
  <si>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</si>
  <si>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</si>
  <si>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</si>
  <si>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</si>
  <si>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</si>
  <si>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</si>
  <si>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</si>
  <si>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</si>
  <si>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</si>
  <si>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</si>
  <si>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</si>
  <si>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</si>
  <si>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</si>
  <si>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</si>
  <si>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</si>
  <si>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</si>
  <si>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</si>
  <si>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</si>
  <si>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</si>
  <si>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</si>
  <si>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</si>
  <si>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</si>
  <si>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</si>
  <si>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</si>
  <si>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</si>
  <si>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</si>
  <si>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</si>
  <si>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</si>
  <si>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</si>
  <si>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</si>
  <si>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</si>
  <si>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</si>
  <si>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</si>
  <si>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</si>
  <si>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</si>
  <si>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</si>
  <si>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</si>
  <si>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</si>
  <si>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</si>
  <si>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</si>
  <si>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</si>
  <si>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</si>
  <si>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</si>
  <si>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</si>
  <si>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</si>
  <si>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</si>
  <si>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</si>
  <si>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</si>
  <si>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</si>
  <si>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</si>
  <si>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</si>
  <si>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</si>
  <si>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</si>
  <si>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</si>
  <si>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</si>
  <si>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</si>
  <si>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</si>
  <si>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</si>
  <si>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</si>
  <si>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</si>
  <si>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</si>
  <si>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</si>
  <si>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</si>
  <si>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</si>
  <si>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</si>
  <si>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</si>
  <si>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</si>
  <si>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</si>
  <si>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</si>
  <si>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</si>
  <si>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</si>
  <si>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</si>
  <si>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</si>
  <si>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</si>
  <si>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</si>
  <si>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</si>
  <si>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</si>
  <si>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</si>
  <si>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</si>
  <si>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</si>
  <si>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</si>
  <si>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</si>
  <si>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</si>
  <si>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</si>
  <si>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</si>
  <si>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</si>
  <si>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</si>
  <si>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</si>
  <si>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</si>
  <si>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</si>
  <si>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</si>
  <si>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</si>
  <si>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</si>
  <si>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</si>
  <si>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</si>
  <si>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</si>
  <si>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</si>
  <si>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</si>
  <si>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</si>
  <si>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</si>
  <si>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</si>
  <si>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</si>
  <si>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</si>
  <si>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</si>
  <si>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</si>
  <si>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</si>
  <si>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</si>
  <si>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</si>
  <si>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</si>
  <si>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</si>
  <si>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</si>
  <si>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</si>
  <si>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</si>
  <si>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</si>
  <si>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</si>
  <si>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</si>
  <si>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</si>
  <si>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</si>
  <si>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</si>
  <si>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</si>
  <si>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</si>
  <si>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</si>
  <si>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</si>
  <si>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</si>
  <si>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</si>
  <si>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</si>
  <si>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</si>
  <si>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</si>
  <si>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</si>
  <si>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</si>
  <si>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</si>
  <si>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</si>
  <si>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</si>
  <si>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</si>
  <si>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</si>
  <si>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</si>
  <si>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</si>
  <si>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</si>
  <si>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</si>
  <si>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</si>
  <si>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</si>
  <si>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</si>
  <si>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</si>
  <si>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</si>
  <si>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</si>
  <si>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</si>
  <si>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</si>
  <si>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</si>
  <si>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</si>
  <si>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</si>
  <si>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</si>
  <si>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</si>
  <si>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</si>
  <si>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</si>
  <si>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</si>
  <si>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</si>
  <si>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</si>
  <si>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</si>
  <si>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</si>
  <si>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</si>
  <si>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</si>
  <si>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</si>
  <si>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</si>
  <si>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</si>
  <si>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</si>
  <si>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</si>
  <si>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</si>
  <si>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</si>
  <si>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</si>
  <si>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</si>
  <si>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</si>
  <si>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</si>
  <si>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</si>
  <si>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</si>
  <si>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</si>
  <si>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</si>
  <si>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</si>
  <si>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</si>
  <si>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</si>
  <si>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</si>
  <si>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</si>
  <si>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</si>
  <si>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</si>
  <si>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</si>
  <si>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</si>
  <si>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</si>
  <si>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</si>
  <si>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</si>
  <si>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</si>
  <si>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</si>
  <si>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</si>
  <si>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</si>
  <si>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</si>
  <si>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</si>
  <si>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</si>
  <si>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</si>
  <si>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</si>
  <si>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</si>
  <si>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</si>
  <si>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</si>
  <si>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</si>
  <si>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</si>
  <si>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</si>
  <si>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</si>
  <si>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</si>
  <si>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</si>
  <si>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</si>
  <si>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</si>
  <si>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</si>
  <si>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</si>
  <si>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</si>
  <si>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</si>
  <si>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</si>
  <si>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</si>
  <si>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</si>
  <si>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</si>
  <si>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</si>
  <si>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</si>
  <si>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</si>
  <si>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</si>
  <si>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</si>
  <si>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</si>
  <si>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</si>
  <si>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</si>
  <si>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</si>
  <si>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</si>
  <si>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</si>
  <si>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</si>
  <si>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</si>
  <si>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</si>
  <si>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</si>
  <si>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</si>
  <si>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</si>
  <si>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</si>
  <si>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</si>
  <si>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</si>
  <si>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</si>
  <si>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</si>
  <si>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</si>
  <si>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</si>
  <si>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</si>
  <si>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</si>
  <si>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</si>
  <si>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</si>
  <si>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</si>
  <si>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</si>
  <si>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</si>
  <si>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</si>
  <si>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</si>
  <si>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</si>
  <si>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</si>
  <si>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</si>
  <si>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</si>
  <si>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</si>
  <si>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</si>
  <si>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</si>
  <si>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</si>
  <si>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</si>
  <si>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</si>
  <si>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</si>
  <si>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</si>
  <si>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</si>
  <si>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</si>
  <si>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</si>
  <si>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</si>
  <si>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</si>
  <si>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</si>
  <si>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</si>
  <si>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</si>
  <si>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</si>
  <si>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</si>
  <si>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</si>
  <si>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</si>
  <si>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</si>
  <si>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</si>
  <si>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</si>
  <si>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</si>
  <si>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</si>
  <si>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</si>
  <si>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</si>
  <si>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</si>
  <si>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</si>
  <si>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</si>
  <si>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</si>
  <si>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</si>
  <si>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</si>
  <si>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</si>
  <si>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</si>
  <si>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</si>
  <si>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</si>
  <si>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</si>
  <si>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</si>
  <si>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</si>
  <si>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</si>
  <si>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</si>
  <si>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</si>
  <si>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</si>
  <si>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</si>
  <si>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</si>
  <si>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</si>
  <si>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</si>
  <si>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</si>
  <si>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</si>
  <si>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</si>
  <si>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</si>
  <si>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</si>
  <si>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</si>
  <si>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</si>
  <si>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</si>
  <si>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</si>
  <si>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</si>
  <si>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</si>
  <si>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</si>
  <si>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</si>
  <si>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</si>
  <si>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</si>
  <si>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</si>
  <si>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</si>
  <si>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</si>
  <si>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</si>
  <si>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</si>
  <si>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</si>
  <si>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</si>
  <si>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</si>
  <si>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</si>
  <si>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</si>
  <si>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</si>
  <si>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</si>
  <si>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</si>
  <si>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</si>
  <si>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</si>
  <si>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</si>
  <si>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</si>
  <si>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</si>
  <si>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</si>
  <si>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</si>
  <si>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</si>
  <si>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</si>
  <si>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</si>
  <si>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</si>
  <si>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</si>
  <si>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</si>
  <si>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</si>
  <si>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</si>
  <si>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</si>
  <si>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</si>
  <si>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</si>
  <si>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</si>
  <si>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</si>
  <si>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</si>
  <si>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</si>
  <si>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</si>
  <si>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</si>
  <si>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</si>
  <si>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</si>
  <si>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</si>
  <si>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</si>
  <si>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</si>
  <si>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</si>
  <si>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</si>
  <si>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</si>
  <si>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</si>
  <si>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</si>
  <si>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</si>
  <si>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</si>
  <si>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</si>
  <si>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</si>
  <si>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</si>
  <si>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</si>
  <si>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</si>
  <si>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</si>
  <si>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</si>
  <si>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</si>
  <si>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</si>
  <si>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</si>
  <si>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</si>
  <si>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</si>
  <si>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</si>
  <si>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</si>
  <si>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</si>
  <si>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</si>
  <si>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</si>
  <si>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</si>
  <si>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</si>
  <si>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</si>
  <si>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</si>
  <si>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</si>
  <si>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</si>
  <si>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</si>
  <si>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</si>
  <si>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</si>
  <si>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</si>
  <si>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</si>
  <si>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</si>
  <si>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</si>
  <si>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</si>
  <si>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</si>
  <si>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</si>
  <si>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</si>
  <si>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</si>
  <si>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</si>
  <si>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</si>
  <si>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</si>
  <si>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</si>
  <si>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</si>
  <si>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</si>
  <si>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</si>
  <si>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</si>
  <si>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</si>
  <si>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</si>
  <si>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</si>
  <si>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</si>
  <si>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</si>
  <si>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</si>
  <si>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</si>
  <si>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</si>
  <si>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</si>
  <si>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</si>
  <si>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</si>
  <si>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</si>
  <si>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</si>
  <si>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</si>
  <si>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</si>
  <si>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</si>
  <si>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</si>
  <si>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</si>
  <si>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</si>
  <si>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</si>
  <si>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</si>
  <si>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</si>
  <si>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</si>
  <si>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</si>
  <si>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</si>
  <si>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</si>
  <si>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</si>
  <si>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</si>
  <si>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</si>
  <si>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</si>
  <si>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</si>
  <si>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</si>
  <si>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</si>
  <si>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</si>
  <si>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</si>
  <si>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</si>
  <si>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</si>
  <si>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</si>
  <si>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</si>
  <si>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</si>
  <si>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</si>
  <si>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</si>
  <si>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</si>
  <si>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</si>
  <si>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</si>
  <si>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</si>
  <si>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</si>
  <si>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</si>
  <si>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</si>
  <si>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</si>
  <si>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</si>
  <si>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</si>
  <si>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</si>
  <si>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</si>
  <si>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</si>
  <si>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</si>
  <si>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</si>
  <si>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</si>
  <si>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</si>
  <si>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</si>
  <si>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</si>
  <si>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</si>
  <si>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</si>
  <si>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</si>
  <si>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</si>
  <si>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</si>
  <si>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</si>
  <si>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</si>
  <si>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</si>
  <si>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</si>
  <si>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</si>
  <si>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</si>
  <si>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</si>
  <si>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</si>
  <si>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</si>
  <si>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</si>
  <si>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</si>
  <si>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</si>
  <si>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</si>
  <si>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</si>
  <si>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</si>
  <si>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</si>
  <si>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</si>
  <si>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</si>
  <si>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</si>
  <si>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</si>
  <si>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</si>
  <si>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</si>
  <si>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</si>
  <si>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</si>
  <si>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</si>
  <si>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</si>
  <si>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</si>
  <si>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</si>
  <si>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</si>
  <si>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</si>
  <si>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</si>
  <si>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</si>
  <si>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</si>
  <si>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</si>
  <si>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</si>
  <si>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</si>
  <si>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</si>
  <si>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</si>
  <si>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</si>
  <si>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</si>
  <si>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</si>
  <si>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</si>
  <si>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</si>
  <si>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</si>
  <si>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</si>
  <si>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</si>
  <si>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</si>
  <si>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</si>
  <si>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</si>
  <si>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</si>
  <si>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</si>
  <si>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</si>
  <si>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</si>
  <si>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</si>
  <si>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</si>
  <si>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</si>
  <si>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</si>
  <si>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</si>
  <si>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</si>
  <si>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</si>
  <si>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</si>
  <si>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</si>
  <si>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</si>
  <si>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</si>
  <si>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</si>
  <si>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</si>
  <si>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</si>
  <si>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</si>
  <si>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</si>
  <si>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</si>
  <si>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</si>
  <si>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</si>
  <si>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</si>
  <si>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</si>
  <si>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</si>
  <si>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</si>
  <si>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</si>
  <si>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</si>
  <si>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</si>
  <si>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</si>
  <si>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</si>
  <si>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</si>
  <si>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</si>
  <si>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</si>
  <si>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</si>
  <si>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</si>
  <si>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</si>
  <si>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</si>
  <si>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</si>
  <si>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</si>
  <si>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</si>
  <si>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</si>
  <si>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</si>
  <si>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</si>
  <si>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</si>
  <si>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</si>
  <si>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</si>
  <si>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</si>
  <si>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</si>
  <si>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</si>
  <si>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</si>
  <si>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</si>
  <si>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</si>
  <si>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</si>
  <si>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</si>
  <si>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</si>
  <si>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</si>
  <si>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</si>
  <si>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</si>
  <si>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</si>
  <si>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</si>
  <si>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</si>
  <si>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</si>
  <si>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</si>
  <si>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</si>
  <si>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</si>
  <si>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</si>
  <si>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</si>
  <si>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</si>
  <si>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</si>
  <si>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</si>
  <si>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</si>
  <si>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</si>
  <si>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</si>
  <si>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</si>
  <si>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</si>
  <si>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</si>
  <si>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</si>
  <si>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</si>
  <si>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</si>
  <si>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</si>
  <si>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</si>
  <si>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</si>
  <si>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</si>
  <si>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</si>
  <si>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</si>
  <si>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</si>
  <si>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</si>
  <si>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</si>
  <si>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</si>
  <si>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</si>
  <si>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</si>
  <si>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</si>
  <si>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</si>
  <si>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</si>
  <si>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</si>
  <si>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</si>
  <si>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</si>
  <si>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</si>
  <si>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</si>
  <si>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</si>
  <si>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</si>
  <si>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</si>
  <si>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</si>
  <si>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</si>
  <si>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</si>
  <si>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</si>
  <si>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</si>
  <si>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</si>
  <si>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</si>
  <si>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</si>
  <si>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</si>
  <si>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</si>
  <si>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</si>
  <si>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</si>
  <si>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</si>
  <si>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</si>
  <si>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</si>
  <si>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</si>
  <si>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</si>
  <si>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</si>
  <si>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</si>
  <si>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</si>
  <si>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</si>
  <si>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</si>
  <si>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</si>
  <si>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</si>
  <si>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</si>
  <si>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</si>
  <si>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</si>
  <si>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</si>
  <si>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</si>
  <si>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</si>
  <si>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</si>
  <si>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</si>
  <si>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</si>
  <si>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</si>
  <si>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</si>
  <si>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</si>
  <si>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</si>
  <si>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</si>
  <si>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</si>
  <si>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</si>
  <si>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</si>
  <si>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</si>
  <si>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</si>
  <si>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</si>
  <si>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</si>
  <si>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</si>
  <si>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</si>
  <si>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</si>
  <si>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</si>
  <si>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</si>
  <si>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</si>
  <si>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</si>
  <si>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</si>
  <si>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</si>
  <si>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</si>
  <si>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</si>
  <si>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</si>
  <si>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</si>
  <si>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</si>
  <si>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</si>
  <si>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</si>
  <si>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</si>
  <si>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</si>
  <si>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</si>
  <si>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</si>
  <si>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</si>
  <si>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</si>
  <si>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</si>
  <si>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</si>
  <si>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</si>
  <si>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</si>
  <si>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</si>
  <si>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</si>
  <si>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</si>
  <si>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</si>
  <si>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</si>
  <si>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</si>
  <si>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</si>
  <si>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</si>
  <si>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</si>
  <si>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</si>
  <si>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</si>
  <si>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</si>
  <si>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</si>
  <si>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</si>
  <si>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</si>
  <si>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</si>
  <si>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</si>
  <si>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</si>
  <si>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</si>
  <si>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</si>
  <si>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</si>
  <si>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</si>
  <si>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</si>
  <si>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</si>
  <si>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</si>
  <si>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</si>
  <si>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</si>
  <si>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</si>
  <si>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</si>
  <si>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</si>
  <si>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</si>
  <si>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</si>
  <si>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</si>
  <si>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</si>
  <si>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</si>
  <si>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</si>
  <si>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</si>
  <si>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</si>
  <si>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</si>
  <si>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</si>
  <si>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</si>
  <si>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</si>
  <si>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</si>
  <si>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</si>
  <si>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</si>
  <si>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</si>
  <si>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</si>
  <si>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</si>
  <si>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</si>
  <si>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</si>
  <si>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</si>
  <si>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</si>
  <si>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</si>
  <si>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</si>
  <si>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</si>
  <si>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</si>
  <si>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</si>
  <si>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</si>
  <si>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</si>
  <si>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</si>
  <si>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</si>
  <si>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</si>
  <si>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</si>
  <si>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</si>
  <si>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</si>
  <si>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</si>
  <si>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</si>
  <si>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</si>
  <si>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</si>
  <si>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</si>
  <si>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</si>
  <si>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</si>
  <si>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</si>
  <si>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</si>
  <si>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</si>
  <si>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</si>
  <si>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</si>
  <si>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</si>
  <si>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</si>
  <si>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</si>
  <si>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</si>
  <si>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</si>
  <si>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</si>
  <si>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</si>
  <si>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</si>
  <si>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</si>
  <si>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</si>
  <si>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</si>
  <si>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</si>
  <si>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</si>
  <si>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</si>
  <si>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</si>
  <si>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</si>
  <si>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</si>
  <si>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</si>
  <si>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</si>
  <si>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</si>
  <si>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</si>
  <si>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</si>
  <si>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</si>
  <si>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</si>
  <si>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</si>
  <si>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</si>
  <si>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</si>
  <si>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</si>
  <si>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</si>
  <si>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</si>
  <si>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</si>
  <si>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</si>
  <si>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</si>
  <si>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</si>
  <si>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</si>
  <si>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</si>
  <si>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</si>
  <si>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</si>
  <si>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</si>
  <si>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</si>
  <si>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</si>
  <si>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</si>
  <si>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</si>
  <si>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</si>
  <si>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</si>
  <si>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</si>
  <si>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</si>
  <si>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</si>
  <si>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</si>
  <si>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</si>
  <si>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</si>
  <si>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</si>
  <si>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</si>
  <si>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</si>
  <si>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</si>
  <si>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</si>
  <si>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</si>
  <si>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</si>
  <si>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</si>
  <si>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</si>
  <si>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</si>
  <si>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</si>
  <si>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</si>
  <si>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</si>
  <si>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</si>
  <si>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</si>
  <si>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</si>
  <si>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</si>
  <si>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</si>
  <si>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</si>
  <si>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</si>
  <si>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</si>
  <si>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</si>
  <si>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</si>
  <si>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</si>
  <si>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</si>
  <si>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</si>
  <si>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</si>
  <si>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</si>
  <si>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</si>
  <si>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</si>
  <si>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</si>
  <si>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</si>
  <si>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</si>
  <si>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</si>
  <si>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</si>
  <si>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</si>
  <si>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</si>
  <si>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</si>
  <si>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</si>
  <si>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</si>
  <si>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</si>
  <si>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</si>
  <si>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</si>
  <si>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</si>
  <si>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</si>
  <si>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</si>
  <si>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</si>
  <si>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</si>
  <si>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</si>
  <si>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</si>
  <si>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</si>
  <si>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</si>
  <si>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</si>
  <si>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</si>
  <si>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</si>
  <si>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</si>
  <si>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</si>
  <si>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</si>
  <si>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</si>
  <si>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</si>
  <si>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</si>
  <si>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</si>
  <si>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</si>
  <si>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</si>
  <si>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</si>
  <si>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</si>
  <si>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</si>
  <si>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</si>
  <si>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</si>
  <si>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</si>
  <si>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</si>
  <si>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</si>
  <si>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</si>
  <si>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</si>
  <si>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</si>
  <si>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</si>
  <si>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</si>
  <si>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</si>
  <si>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</si>
  <si>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</si>
  <si>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</si>
  <si>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</si>
  <si>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</si>
  <si>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</si>
  <si>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</si>
  <si>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</si>
  <si>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</si>
  <si>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</si>
  <si>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</si>
  <si>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</si>
  <si>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</si>
  <si>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</si>
  <si>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</si>
  <si>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</si>
  <si>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</si>
  <si>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</si>
  <si>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</si>
  <si>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</si>
  <si>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</si>
  <si>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</si>
  <si>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</si>
  <si>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</si>
  <si>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</si>
  <si>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</si>
  <si>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</si>
  <si>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</si>
  <si>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</si>
  <si>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</si>
  <si>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</si>
  <si>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</si>
  <si>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</si>
  <si>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</si>
  <si>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</si>
  <si>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</si>
  <si>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</si>
  <si>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</si>
  <si>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</si>
  <si>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</si>
  <si>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</si>
  <si>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</si>
  <si>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</si>
  <si>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</si>
  <si>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</si>
  <si>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</si>
  <si>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</si>
  <si>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</si>
  <si>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</si>
  <si>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</si>
  <si>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</si>
  <si>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</si>
  <si>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</si>
  <si>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</si>
  <si>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</si>
  <si>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</si>
  <si>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</si>
  <si>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</si>
  <si>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</si>
  <si>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</si>
  <si>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</si>
  <si>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</si>
  <si>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</si>
  <si>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</si>
  <si>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</si>
  <si>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</si>
  <si>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</si>
  <si>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</si>
  <si>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</si>
  <si>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</si>
  <si>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</si>
  <si>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</si>
  <si>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</si>
  <si>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</si>
  <si>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</si>
  <si>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</si>
  <si>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</si>
  <si>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</si>
  <si>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</si>
  <si>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</si>
  <si>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</si>
  <si>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</si>
  <si>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</si>
  <si>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</si>
  <si>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</si>
  <si>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</si>
  <si>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</si>
  <si>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</si>
  <si>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</si>
  <si>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</si>
  <si>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</si>
  <si>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</si>
  <si>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</si>
  <si>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</si>
  <si>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</si>
  <si>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</si>
  <si>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</si>
  <si>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</si>
  <si>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</si>
  <si>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</si>
  <si>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</si>
  <si>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</si>
  <si>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</si>
  <si>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</si>
  <si>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</si>
  <si>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</si>
  <si>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</si>
  <si>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</si>
  <si>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</si>
  <si>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</si>
  <si>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</si>
  <si>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</si>
  <si>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</si>
  <si>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</si>
  <si>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</si>
  <si>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</si>
  <si>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</si>
  <si>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</si>
  <si>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</si>
  <si>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</si>
  <si>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</si>
  <si>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</si>
  <si>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</si>
  <si>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</si>
  <si>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</si>
  <si>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</si>
  <si>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</si>
  <si>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</si>
  <si>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</si>
  <si>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</si>
  <si>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</si>
  <si>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</si>
  <si>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</si>
  <si>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</si>
  <si>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</si>
  <si>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</si>
  <si>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</si>
  <si>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</si>
  <si>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</si>
  <si>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</si>
  <si>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</si>
  <si>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</si>
  <si>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</si>
  <si>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</si>
  <si>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</si>
  <si>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</si>
  <si>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</si>
  <si>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</si>
  <si>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</si>
  <si>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</si>
  <si>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</si>
  <si>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</si>
  <si>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</si>
  <si>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</si>
  <si>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</si>
  <si>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</si>
  <si>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</si>
  <si>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</si>
  <si>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</si>
  <si>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</si>
  <si>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</si>
  <si>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</si>
  <si>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</si>
  <si>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</si>
  <si>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</si>
  <si>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</si>
  <si>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</si>
  <si>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</si>
  <si>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</si>
  <si>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</si>
  <si>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</si>
  <si>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</si>
  <si>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</si>
  <si>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</si>
  <si>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</si>
  <si>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</si>
  <si>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</si>
  <si>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</si>
  <si>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</si>
  <si>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</si>
  <si>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</si>
  <si>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</si>
  <si>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</si>
  <si>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</si>
  <si>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</si>
  <si>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</si>
  <si>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</si>
  <si>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</si>
  <si>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</si>
  <si>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</si>
  <si>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</si>
  <si>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</si>
  <si>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</si>
  <si>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</si>
  <si>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</si>
  <si>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</si>
  <si>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</si>
  <si>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</si>
  <si>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</si>
  <si>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</si>
  <si>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</si>
  <si>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</si>
  <si>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</si>
  <si>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</si>
  <si>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</si>
  <si>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</si>
  <si>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</si>
  <si>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</si>
  <si>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</si>
  <si>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</si>
  <si>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</si>
  <si>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</si>
  <si>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</si>
  <si>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</si>
  <si>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</si>
  <si>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</si>
  <si>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</si>
  <si>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</si>
  <si>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</si>
  <si>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</si>
  <si>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</si>
  <si>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</si>
  <si>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</si>
  <si>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</si>
  <si>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</si>
  <si>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</si>
  <si>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</si>
  <si>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</si>
  <si>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</si>
  <si>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</si>
  <si>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</si>
  <si>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</si>
  <si>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</si>
  <si>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</si>
  <si>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</si>
  <si>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</si>
  <si>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</si>
  <si>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</si>
  <si>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</si>
  <si>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</si>
  <si>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</si>
  <si>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</si>
  <si>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</si>
  <si>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</si>
  <si>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</si>
  <si>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</si>
  <si>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</si>
  <si>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</si>
  <si>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</si>
  <si>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</si>
  <si>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</si>
  <si>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</si>
  <si>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</si>
  <si>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</si>
  <si>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</si>
  <si>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</si>
  <si>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</si>
  <si>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</si>
  <si>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</si>
  <si>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</si>
  <si>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</si>
  <si>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</si>
  <si>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</si>
  <si>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</si>
  <si>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</si>
  <si>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</si>
  <si>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</si>
  <si>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</si>
  <si>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</si>
  <si>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</si>
  <si>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</si>
  <si>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</si>
  <si>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</si>
  <si>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</si>
  <si>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</si>
  <si>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</si>
  <si>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</si>
  <si>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</si>
  <si>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</si>
  <si>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</si>
  <si>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</si>
  <si>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</si>
  <si>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</si>
  <si>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</si>
  <si>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</si>
  <si>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</si>
  <si>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</si>
  <si>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</si>
  <si>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</si>
  <si>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</si>
  <si>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</si>
  <si>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</si>
  <si>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</si>
  <si>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</si>
  <si>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</si>
  <si>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</si>
  <si>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</si>
  <si>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</si>
  <si>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</si>
  <si>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</si>
  <si>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</si>
  <si>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</si>
  <si>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</si>
  <si>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</si>
  <si>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</si>
  <si>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</si>
  <si>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</si>
  <si>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</si>
  <si>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</si>
  <si>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</si>
  <si>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</si>
  <si>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</si>
  <si>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</si>
  <si>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</si>
  <si>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</si>
  <si>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</si>
  <si>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</si>
  <si>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</si>
  <si>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</si>
  <si>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</si>
  <si>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</si>
  <si>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</si>
  <si>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</si>
  <si>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</si>
  <si>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</si>
  <si>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</si>
  <si>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</si>
  <si>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</si>
  <si>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</si>
  <si>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</si>
  <si>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</si>
  <si>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</si>
  <si>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</si>
  <si>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</si>
  <si>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</si>
  <si>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</si>
  <si>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</si>
  <si>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</si>
  <si>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</si>
  <si>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</si>
  <si>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</si>
  <si>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</si>
  <si>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</si>
  <si>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</si>
  <si>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</si>
  <si>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</si>
  <si>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</si>
  <si>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</si>
  <si>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</si>
  <si>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</si>
  <si>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</si>
  <si>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</si>
  <si>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</si>
  <si>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</si>
  <si>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</si>
  <si>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</si>
  <si>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</si>
  <si>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</si>
  <si>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</si>
  <si>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</si>
  <si>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</si>
  <si>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</si>
  <si>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</si>
  <si>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</si>
  <si>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</si>
  <si>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</si>
  <si>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</si>
  <si>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</si>
  <si>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</si>
  <si>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</si>
  <si>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</si>
  <si>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</si>
  <si>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</si>
  <si>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</si>
  <si>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</si>
  <si>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</si>
  <si>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</si>
  <si>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</si>
  <si>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</si>
  <si>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</si>
  <si>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</si>
  <si>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</si>
  <si>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</si>
  <si>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</si>
  <si>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</si>
  <si>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</si>
  <si>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</si>
  <si>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</si>
  <si>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</si>
  <si>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</si>
  <si>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</si>
  <si>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</si>
  <si>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</si>
  <si>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</si>
  <si>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</si>
  <si>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</si>
  <si>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</si>
  <si>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</si>
  <si>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</si>
  <si>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</si>
  <si>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</si>
  <si>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</si>
  <si>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</si>
  <si>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</si>
  <si>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</si>
  <si>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</si>
  <si>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</si>
  <si>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</si>
  <si>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</si>
  <si>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</si>
  <si>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</si>
  <si>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</si>
  <si>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</si>
  <si>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</si>
  <si>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</si>
  <si>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</si>
  <si>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</si>
  <si>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</si>
  <si>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</si>
  <si>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</si>
  <si>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</si>
  <si>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</si>
  <si>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</si>
  <si>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</si>
  <si>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</si>
  <si>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</si>
  <si>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</si>
  <si>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</si>
  <si>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</si>
  <si>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</si>
  <si>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</si>
  <si>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</si>
  <si>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</si>
  <si>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</si>
  <si>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</si>
  <si>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</si>
  <si>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</si>
  <si>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</si>
  <si>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</si>
  <si>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</si>
  <si>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</si>
  <si>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</si>
  <si>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</si>
  <si>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</si>
  <si>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</si>
  <si>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</si>
  <si>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</si>
  <si>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</si>
  <si>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</si>
  <si>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</si>
  <si>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</si>
  <si>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</si>
  <si>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</si>
  <si>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</si>
  <si>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</si>
  <si>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</si>
  <si>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</si>
  <si>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</si>
  <si>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</si>
  <si>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</si>
  <si>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</si>
  <si>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</si>
  <si>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</si>
  <si>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</si>
  <si>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</si>
  <si>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</si>
  <si>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</si>
  <si>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</si>
  <si>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</si>
  <si>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</si>
  <si>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</si>
  <si>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</si>
  <si>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</si>
  <si>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</si>
  <si>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</si>
  <si>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</si>
  <si>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</si>
  <si>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</si>
  <si>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</si>
  <si>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</si>
  <si>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</si>
  <si>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</si>
  <si>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</si>
  <si>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</si>
  <si>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</si>
  <si>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</si>
  <si>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</si>
  <si>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</si>
  <si>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</si>
  <si>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</si>
  <si>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</si>
  <si>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</si>
  <si>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</si>
  <si>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</si>
  <si>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</si>
  <si>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</si>
  <si>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</si>
  <si>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</si>
  <si>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</si>
  <si>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</si>
  <si>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</si>
  <si>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</si>
  <si>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</si>
  <si>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</si>
  <si>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</si>
  <si>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</si>
  <si>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</si>
  <si>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</si>
  <si>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</si>
  <si>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</si>
  <si>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</si>
  <si>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</si>
  <si>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</si>
  <si>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</si>
  <si>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</si>
  <si>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</si>
  <si>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</si>
  <si>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</si>
  <si>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</si>
  <si>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</si>
  <si>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</si>
  <si>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</si>
  <si>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</si>
  <si>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</si>
  <si>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</si>
  <si>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</si>
  <si>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</si>
  <si>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</si>
  <si>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</si>
  <si>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</si>
  <si>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</si>
  <si>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</si>
  <si>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</si>
  <si>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</si>
  <si>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</si>
  <si>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</si>
  <si>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</si>
  <si>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</si>
  <si>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</si>
  <si>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</si>
  <si>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</si>
  <si>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</si>
  <si>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</si>
  <si>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</si>
  <si>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</si>
  <si>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</si>
  <si>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</si>
  <si>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</si>
  <si>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</si>
  <si>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</si>
  <si>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</si>
  <si>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</si>
  <si>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</si>
  <si>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</si>
  <si>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</si>
  <si>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</si>
  <si>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</si>
  <si>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</si>
  <si>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</si>
  <si>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</si>
  <si>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</si>
  <si>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</si>
  <si>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</si>
  <si>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</si>
  <si>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</si>
  <si>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</si>
  <si>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</si>
  <si>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</si>
  <si>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</si>
  <si>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</si>
  <si>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</si>
  <si>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</si>
  <si>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</si>
  <si>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</si>
  <si>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</si>
  <si>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</si>
  <si>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</si>
  <si>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</si>
  <si>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</si>
  <si>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</si>
  <si>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</si>
  <si>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</si>
  <si>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</si>
  <si>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</si>
  <si>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</si>
  <si>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</si>
  <si>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</si>
  <si>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</si>
  <si>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</si>
  <si>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</si>
  <si>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</si>
  <si>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</si>
  <si>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</si>
  <si>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</si>
  <si>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</si>
  <si>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</si>
  <si>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</si>
  <si>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</si>
  <si>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</si>
  <si>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</si>
  <si>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</si>
  <si>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</si>
  <si>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</si>
  <si>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</si>
  <si>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</si>
  <si>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</si>
  <si>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</si>
  <si>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</si>
  <si>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</si>
  <si>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</si>
  <si>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</si>
  <si>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</si>
  <si>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</si>
  <si>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</si>
  <si>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</si>
  <si>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</si>
  <si>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</si>
  <si>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</si>
  <si>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</si>
  <si>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</si>
  <si>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</si>
  <si>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</si>
  <si>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</si>
  <si>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</si>
  <si>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</si>
  <si>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</si>
  <si>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</si>
  <si>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</si>
  <si>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</si>
  <si>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</si>
  <si>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</si>
  <si>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</si>
  <si>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</si>
  <si>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</si>
  <si>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</si>
  <si>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</si>
  <si>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</si>
  <si>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</si>
  <si>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</si>
  <si>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</si>
  <si>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</si>
  <si>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</si>
  <si>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</si>
  <si>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</si>
  <si>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</si>
  <si>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</si>
  <si>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</si>
  <si>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</si>
  <si>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</si>
  <si>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</si>
  <si>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</si>
  <si>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</si>
  <si>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</si>
  <si>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</si>
  <si>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</si>
  <si>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</si>
  <si>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</si>
  <si>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</si>
  <si>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</si>
  <si>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</si>
  <si>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</si>
  <si>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</si>
  <si>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</si>
  <si>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</si>
  <si>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</si>
  <si>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</si>
  <si>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</si>
  <si>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</si>
  <si>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</si>
  <si>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</si>
  <si>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</si>
  <si>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</si>
  <si>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</si>
  <si>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</si>
  <si>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</si>
  <si>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</si>
  <si>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</si>
  <si>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</si>
  <si>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</si>
  <si>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</si>
  <si>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</si>
  <si>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</si>
  <si>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</si>
  <si>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</si>
  <si>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</si>
  <si>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</si>
  <si>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</si>
  <si>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</si>
  <si>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</si>
  <si>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</si>
  <si>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</si>
  <si>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</si>
  <si>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</si>
  <si>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</si>
  <si>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</si>
  <si>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</si>
  <si>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</si>
  <si>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</si>
  <si>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</si>
  <si>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</si>
  <si>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</si>
  <si>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</si>
  <si>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</si>
  <si>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</si>
  <si>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</si>
  <si>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</si>
  <si>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</si>
  <si>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</si>
  <si>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</si>
  <si>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</si>
  <si>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</si>
  <si>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</si>
  <si>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</si>
  <si>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</si>
  <si>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</si>
  <si>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</si>
  <si>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</si>
  <si>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</si>
  <si>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</si>
  <si>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</si>
  <si>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</si>
  <si>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</si>
  <si>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</si>
  <si>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</si>
  <si>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</si>
  <si>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</si>
  <si>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</si>
  <si>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</si>
  <si>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</si>
  <si>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</si>
  <si>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</si>
  <si>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</si>
  <si>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</si>
  <si>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</si>
  <si>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</si>
  <si>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</si>
  <si>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</si>
  <si>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</si>
  <si>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</si>
  <si>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</si>
  <si>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</si>
  <si>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</si>
  <si>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</si>
  <si>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</si>
  <si>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</si>
  <si>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</si>
  <si>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</si>
  <si>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</si>
  <si>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</si>
  <si>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</si>
  <si>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</si>
  <si>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</si>
  <si>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</si>
  <si>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</si>
  <si>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</si>
  <si>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</si>
  <si>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</si>
  <si>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</si>
  <si>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</si>
  <si>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</si>
  <si>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</si>
  <si>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</si>
  <si>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</si>
  <si>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</si>
  <si>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</si>
  <si>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</si>
  <si>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</si>
  <si>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</si>
  <si>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</si>
  <si>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</si>
  <si>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</si>
  <si>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</si>
  <si>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</si>
  <si>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</si>
  <si>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</si>
  <si>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</si>
  <si>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</si>
  <si>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</si>
  <si>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</si>
  <si>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</si>
  <si>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</si>
  <si>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</si>
  <si>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</si>
  <si>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</si>
  <si>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</si>
  <si>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</si>
  <si>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</si>
  <si>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</si>
  <si>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</si>
  <si>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</si>
  <si>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</si>
  <si>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</si>
  <si>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</si>
  <si>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</si>
  <si>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</si>
  <si>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</si>
  <si>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</si>
  <si>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</si>
  <si>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</si>
  <si>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</si>
  <si>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</si>
  <si>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</si>
  <si>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</si>
  <si>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</si>
  <si>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</si>
  <si>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</si>
  <si>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</si>
  <si>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</si>
  <si>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</si>
  <si>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</si>
  <si>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</si>
  <si>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</si>
  <si>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</si>
  <si>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</si>
  <si>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</si>
  <si>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</si>
  <si>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</si>
  <si>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</si>
  <si>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</si>
  <si>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</si>
  <si>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</si>
  <si>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</si>
  <si>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</si>
  <si>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</si>
  <si>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</si>
  <si>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</si>
  <si>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</si>
  <si>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</si>
  <si>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</si>
  <si>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</si>
  <si>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</si>
  <si>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</si>
  <si>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</si>
  <si>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</si>
  <si>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</si>
  <si>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</si>
  <si>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</si>
  <si>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</si>
  <si>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</si>
  <si>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</si>
  <si>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</si>
  <si>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</si>
  <si>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</si>
  <si>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</si>
  <si>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</si>
  <si>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</si>
  <si>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</si>
  <si>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</si>
  <si>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</si>
  <si>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</si>
  <si>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</si>
  <si>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</si>
  <si>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</si>
  <si>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</si>
  <si>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</si>
  <si>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</si>
  <si>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</si>
  <si>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</si>
  <si>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</si>
  <si>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</si>
  <si>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</si>
  <si>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</si>
  <si>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</si>
  <si>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</si>
  <si>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</si>
  <si>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</si>
  <si>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</si>
  <si>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</si>
  <si>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</si>
  <si>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</si>
  <si>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</si>
  <si>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</si>
  <si>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</si>
  <si>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</si>
  <si>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</si>
  <si>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</si>
  <si>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</si>
  <si>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</si>
  <si>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</si>
  <si>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</si>
  <si>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</si>
  <si>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</si>
  <si>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</si>
  <si>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</si>
  <si>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</si>
  <si>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</si>
  <si>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</si>
  <si>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</si>
  <si>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</si>
  <si>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</si>
  <si>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</si>
  <si>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</si>
  <si>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</si>
  <si>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</si>
  <si>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</si>
  <si>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</si>
  <si>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</si>
  <si>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</si>
  <si>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</si>
  <si>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</si>
  <si>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</si>
  <si>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</si>
  <si>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</si>
  <si>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</si>
  <si>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</si>
  <si>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</si>
  <si>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</si>
  <si>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</si>
  <si>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</si>
  <si>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</si>
  <si>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</si>
  <si>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</si>
  <si>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</si>
  <si>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</si>
  <si>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</si>
  <si>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</si>
  <si>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</si>
  <si>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</si>
  <si>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</si>
  <si>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</si>
  <si>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</si>
  <si>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</si>
  <si>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</si>
  <si>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</si>
  <si>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</si>
  <si>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</si>
  <si>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</si>
  <si>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</si>
  <si>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</si>
  <si>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</si>
  <si>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</si>
  <si>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</si>
  <si>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</si>
  <si>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</si>
  <si>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</si>
  <si>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</si>
  <si>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</si>
  <si>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</si>
  <si>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</si>
  <si>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</si>
  <si>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</si>
  <si>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</si>
  <si>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</si>
  <si>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</si>
  <si>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</si>
  <si>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</si>
  <si>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</si>
  <si>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</si>
  <si>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</si>
  <si>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</si>
  <si>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</si>
  <si>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</si>
  <si>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</si>
  <si>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</si>
  <si>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</si>
  <si>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</si>
  <si>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</si>
  <si>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</si>
  <si>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</si>
  <si>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</si>
  <si>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</si>
  <si>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</si>
  <si>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</si>
  <si>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</si>
  <si>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</si>
  <si>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</si>
  <si>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</si>
  <si>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</si>
  <si>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</si>
  <si>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</si>
  <si>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</si>
  <si>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</si>
  <si>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</si>
  <si>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</si>
  <si>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</si>
  <si>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</si>
  <si>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</si>
  <si>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</si>
  <si>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</si>
  <si>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</si>
  <si>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</si>
  <si>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</si>
  <si>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</si>
  <si>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</si>
  <si>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</si>
  <si>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</si>
  <si>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</si>
  <si>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</si>
  <si>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</si>
  <si>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</si>
  <si>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</si>
  <si>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</si>
  <si>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</si>
  <si>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</si>
  <si>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</si>
  <si>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</si>
  <si>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</si>
  <si>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</si>
  <si>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</si>
  <si>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</si>
  <si>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</si>
  <si>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</si>
  <si>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</si>
  <si>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</si>
  <si>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</si>
  <si>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</si>
  <si>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</si>
  <si>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</si>
  <si>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</si>
  <si>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</si>
  <si>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</si>
  <si>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</si>
  <si>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</si>
  <si>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</si>
  <si>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</si>
  <si>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</si>
  <si>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</si>
  <si>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</si>
  <si>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</si>
  <si>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</si>
  <si>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</si>
  <si>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</si>
  <si>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</si>
  <si>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</si>
  <si>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</si>
  <si>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</si>
  <si>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</si>
  <si>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</si>
  <si>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</si>
  <si>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</si>
  <si>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</si>
  <si>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</si>
  <si>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</si>
  <si>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</si>
  <si>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</si>
  <si>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</si>
  <si>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</si>
  <si>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</si>
  <si>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</si>
  <si>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</si>
  <si>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</si>
  <si>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</si>
  <si>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</si>
  <si>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</si>
  <si>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</si>
  <si>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</si>
  <si>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</si>
  <si>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</si>
  <si>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</si>
  <si>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</si>
  <si>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</si>
  <si>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</si>
  <si>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</si>
  <si>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</si>
  <si>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</si>
  <si>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</si>
  <si>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</si>
  <si>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</si>
  <si>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</si>
  <si>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</si>
  <si>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</si>
  <si>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</si>
  <si>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</si>
  <si>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</si>
  <si>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</si>
  <si>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</si>
  <si>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</si>
  <si>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</si>
  <si>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</si>
  <si>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</si>
  <si>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</si>
  <si>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</si>
  <si>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</si>
  <si>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</si>
  <si>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</si>
  <si>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</si>
  <si>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</si>
  <si>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</si>
  <si>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</si>
  <si>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</si>
  <si>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</si>
  <si>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</si>
  <si>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</si>
  <si>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</si>
  <si>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</si>
  <si>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</si>
  <si>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</si>
  <si>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</si>
  <si>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</si>
  <si>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</si>
  <si>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</si>
  <si>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</si>
  <si>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</si>
  <si>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</si>
  <si>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</si>
  <si>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</si>
  <si>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</si>
  <si>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</si>
  <si>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</si>
  <si>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</si>
  <si>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</si>
  <si>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</si>
  <si>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</si>
  <si>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</si>
  <si>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</si>
  <si>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</si>
  <si>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</si>
  <si>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</si>
  <si>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</si>
  <si>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</si>
  <si>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</si>
  <si>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</si>
  <si>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</si>
  <si>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</si>
  <si>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</si>
  <si>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</si>
  <si>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</si>
  <si>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</si>
  <si>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</si>
  <si>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</si>
  <si>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</si>
  <si>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</si>
  <si>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</si>
  <si>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</si>
  <si>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</si>
  <si>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</si>
  <si>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</si>
  <si>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</si>
  <si>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</si>
  <si>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</si>
  <si>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</si>
  <si>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</si>
  <si>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</si>
  <si>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</si>
  <si>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</si>
  <si>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</si>
  <si>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</si>
  <si>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</si>
  <si>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</si>
  <si>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</si>
  <si>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</si>
  <si>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</si>
  <si>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</si>
  <si>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</si>
  <si>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</si>
  <si>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</si>
  <si>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</si>
  <si>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</si>
  <si>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</si>
  <si>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</si>
  <si>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</si>
  <si>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</si>
  <si>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</si>
  <si>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</si>
  <si>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</si>
  <si>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</si>
  <si>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</si>
  <si>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</si>
  <si>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</si>
  <si>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</si>
  <si>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</si>
  <si>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</si>
  <si>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</si>
  <si>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</si>
  <si>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</si>
  <si>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</si>
  <si>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</si>
  <si>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</si>
  <si>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</si>
  <si>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</si>
  <si>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</si>
  <si>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</si>
  <si>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</si>
  <si>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</si>
  <si>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</si>
  <si>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</si>
  <si>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</si>
  <si>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</si>
  <si>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</si>
  <si>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</si>
  <si>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</si>
  <si>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</si>
  <si>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</si>
  <si>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</si>
  <si>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</si>
  <si>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</si>
  <si>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</si>
  <si>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</si>
  <si>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</si>
  <si>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</si>
  <si>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</si>
  <si>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</si>
  <si>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</si>
  <si>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</si>
  <si>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</si>
  <si>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</si>
  <si>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</si>
  <si>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</si>
  <si>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</si>
  <si>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</si>
  <si>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</si>
  <si>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</si>
  <si>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</si>
  <si>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</si>
  <si>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</si>
  <si>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</si>
  <si>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</si>
  <si>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</si>
  <si>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</si>
  <si>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</si>
  <si>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</si>
  <si>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</si>
  <si>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</si>
  <si>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</si>
  <si>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</si>
  <si>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</si>
  <si>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</si>
  <si>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</si>
  <si>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</si>
  <si>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</si>
  <si>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</si>
  <si>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</si>
  <si>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</si>
  <si>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</si>
  <si>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</si>
  <si>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</si>
  <si>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</si>
  <si>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</si>
  <si>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</si>
  <si>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</si>
  <si>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</si>
  <si>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</si>
  <si>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</si>
  <si>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</si>
  <si>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</si>
  <si>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</si>
  <si>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</si>
  <si>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</si>
  <si>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</si>
  <si>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</si>
  <si>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</si>
  <si>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</si>
  <si>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</si>
  <si>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</si>
  <si>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</si>
  <si>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</si>
  <si>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</si>
  <si>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</si>
  <si>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</si>
  <si>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</si>
  <si>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</si>
  <si>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</si>
  <si>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</si>
  <si>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</si>
  <si>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</si>
  <si>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</si>
  <si>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</si>
  <si>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</si>
  <si>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</si>
  <si>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</si>
  <si>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</si>
  <si>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</si>
  <si>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</si>
  <si>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</si>
  <si>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</si>
  <si>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</si>
  <si>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</si>
  <si>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</si>
  <si>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</si>
  <si>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</si>
  <si>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</si>
  <si>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</si>
  <si>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</si>
  <si>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</si>
  <si>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</si>
  <si>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</si>
  <si>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</si>
  <si>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</si>
  <si>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</si>
  <si>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</si>
  <si>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</si>
  <si>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</si>
  <si>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</si>
  <si>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</si>
  <si>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</si>
  <si>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</si>
  <si>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</si>
  <si>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</si>
  <si>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</si>
  <si>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</si>
  <si>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</si>
  <si>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</si>
  <si>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</si>
  <si>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</si>
  <si>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</si>
  <si>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</si>
  <si>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</si>
  <si>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</si>
  <si>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</si>
  <si>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</si>
  <si>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</si>
  <si>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</si>
  <si>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</si>
  <si>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</si>
  <si>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</si>
  <si>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</si>
  <si>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</si>
  <si>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</si>
  <si>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</si>
  <si>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</si>
  <si>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</si>
  <si>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</si>
  <si>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</si>
  <si>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</si>
  <si>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</si>
  <si>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</si>
  <si>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</si>
  <si>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</si>
  <si>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</si>
  <si>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</si>
  <si>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</si>
  <si>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</si>
  <si>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</si>
  <si>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</si>
  <si>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</si>
  <si>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</si>
  <si>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</si>
  <si>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</si>
  <si>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</si>
  <si>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</si>
  <si>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</si>
  <si>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</si>
  <si>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</si>
  <si>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</si>
  <si>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</si>
  <si>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</si>
  <si>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</si>
  <si>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</si>
  <si>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</si>
  <si>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</si>
  <si>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</si>
  <si>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</si>
  <si>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</si>
  <si>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</si>
  <si>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</si>
  <si>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</si>
  <si>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</si>
  <si>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</si>
  <si>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</si>
  <si>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</si>
  <si>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</si>
  <si>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</si>
  <si>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</si>
  <si>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</si>
  <si>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</si>
  <si>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</si>
  <si>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</si>
  <si>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</si>
  <si>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</si>
  <si>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</si>
  <si>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</si>
  <si>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</si>
  <si>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</si>
  <si>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</si>
  <si>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</si>
  <si>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</si>
  <si>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</si>
  <si>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</si>
  <si>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</si>
  <si>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</si>
  <si>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</si>
  <si>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</si>
  <si>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</si>
  <si>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</si>
  <si>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</si>
  <si>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</si>
  <si>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</si>
  <si>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</si>
  <si>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</si>
  <si>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</si>
  <si>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</si>
  <si>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</si>
  <si>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</si>
  <si>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</si>
  <si>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</si>
  <si>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</si>
  <si>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</si>
  <si>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</si>
  <si>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</si>
  <si>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</si>
  <si>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</si>
  <si>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</si>
  <si>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</si>
  <si>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</si>
  <si>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</si>
  <si>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</si>
  <si>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</si>
  <si>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</si>
  <si>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</si>
  <si>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</si>
  <si>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</si>
  <si>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</si>
  <si>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</si>
  <si>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</si>
  <si>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</si>
  <si>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</si>
  <si>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</si>
  <si>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</si>
  <si>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</si>
  <si>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</si>
  <si>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</si>
  <si>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</si>
  <si>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</si>
  <si>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</si>
  <si>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</si>
  <si>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</si>
  <si>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</si>
  <si>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</si>
  <si>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</si>
  <si>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</si>
  <si>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</si>
  <si>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</si>
  <si>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</si>
  <si>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</si>
  <si>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</si>
  <si>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</si>
  <si>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</si>
  <si>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</si>
  <si>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</si>
  <si>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</si>
  <si>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</si>
  <si>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</si>
  <si>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</si>
  <si>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</si>
  <si>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</si>
  <si>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</si>
  <si>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</si>
  <si>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</si>
  <si>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</si>
  <si>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</si>
  <si>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</si>
  <si>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</si>
  <si>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</si>
  <si>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</si>
  <si>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</si>
  <si>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</si>
  <si>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</si>
  <si>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</si>
  <si>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</si>
  <si>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</si>
  <si>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</si>
  <si>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</si>
  <si>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</si>
  <si>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</si>
  <si>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</si>
  <si>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</si>
  <si>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</si>
  <si>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</si>
  <si>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</si>
  <si>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</si>
  <si>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</si>
  <si>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</si>
  <si>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</si>
  <si>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</si>
  <si>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</si>
  <si>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</si>
  <si>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</si>
  <si>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</si>
  <si>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</si>
  <si>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</si>
  <si>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</si>
  <si>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</si>
  <si>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</si>
  <si>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</si>
  <si>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</si>
  <si>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</si>
  <si>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</si>
  <si>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</si>
  <si>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</si>
  <si>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</si>
  <si>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</si>
  <si>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</si>
  <si>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</si>
  <si>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</si>
  <si>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</si>
  <si>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</si>
  <si>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</si>
  <si>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</si>
  <si>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</si>
  <si>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</si>
  <si>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</si>
  <si>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</si>
  <si>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</si>
  <si>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</si>
  <si>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</si>
  <si>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</si>
  <si>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</si>
  <si>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</si>
  <si>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</si>
  <si>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</si>
  <si>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</si>
  <si>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</si>
  <si>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</si>
  <si>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</si>
  <si>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</si>
  <si>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</si>
  <si>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</si>
  <si>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</si>
  <si>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</si>
  <si>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</si>
  <si>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</si>
  <si>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</si>
  <si>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</si>
  <si>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</si>
  <si>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</si>
  <si>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</si>
  <si>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</si>
  <si>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</si>
  <si>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</si>
  <si>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</si>
  <si>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</si>
  <si>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</si>
  <si>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</si>
  <si>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</si>
  <si>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</si>
  <si>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</si>
  <si>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</si>
  <si>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</si>
  <si>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</si>
  <si>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</si>
  <si>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</si>
  <si>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</si>
  <si>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</si>
  <si>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</si>
  <si>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</si>
  <si>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</si>
  <si>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</si>
  <si>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</si>
  <si>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</si>
  <si>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</si>
  <si>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</si>
  <si>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</si>
  <si>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</si>
  <si>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</si>
  <si>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</si>
  <si>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</si>
  <si>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</si>
  <si>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</si>
  <si>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</si>
  <si>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</si>
  <si>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</si>
  <si>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</si>
  <si>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</si>
  <si>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</si>
  <si>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</si>
  <si>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</si>
  <si>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</si>
  <si>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</si>
  <si>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</si>
  <si>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</si>
  <si>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</si>
  <si>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</si>
  <si>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</si>
  <si>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</si>
  <si>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</si>
  <si>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</si>
  <si>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</si>
  <si>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</si>
  <si>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</si>
  <si>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</si>
  <si>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</si>
  <si>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</si>
  <si>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</si>
  <si>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</si>
  <si>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</si>
  <si>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</si>
  <si>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</si>
  <si>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</si>
  <si>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</si>
  <si>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</si>
  <si>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</si>
  <si>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</si>
  <si>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</si>
  <si>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</si>
  <si>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</si>
  <si>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</si>
  <si>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</si>
  <si>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</si>
  <si>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</si>
  <si>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</si>
  <si>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</si>
  <si>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</si>
  <si>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</si>
  <si>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</si>
  <si>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</si>
  <si>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</si>
  <si>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</si>
  <si>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</si>
  <si>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</si>
  <si>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</si>
  <si>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</si>
  <si>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</si>
  <si>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</si>
  <si>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</si>
  <si>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</si>
  <si>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</si>
  <si>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</si>
  <si>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</si>
  <si>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</si>
  <si>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</si>
  <si>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</si>
  <si>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</si>
  <si>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</si>
  <si>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</si>
  <si>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</si>
  <si>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</si>
  <si>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</si>
  <si>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</si>
  <si>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</si>
  <si>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</si>
  <si>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</si>
  <si>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</si>
  <si>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</si>
  <si>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</si>
  <si>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</si>
  <si>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</si>
  <si>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</si>
  <si>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</si>
  <si>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</si>
  <si>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</si>
  <si>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</si>
  <si>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</si>
  <si>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</si>
  <si>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</si>
  <si>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</si>
  <si>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</si>
  <si>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</si>
  <si>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</si>
  <si>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</si>
  <si>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</si>
  <si>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</si>
  <si>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</si>
  <si>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</si>
  <si>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</si>
  <si>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</si>
  <si>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</si>
  <si>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</si>
  <si>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</si>
  <si>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</si>
  <si>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</si>
  <si>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</si>
  <si>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</si>
  <si>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</si>
  <si>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</si>
  <si>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</si>
  <si>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</si>
  <si>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</si>
  <si>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</si>
  <si>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</si>
  <si>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</si>
  <si>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</si>
  <si>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</si>
  <si>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</si>
  <si>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</si>
  <si>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</si>
  <si>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</si>
  <si>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</si>
  <si>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</si>
  <si>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</si>
  <si>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</si>
  <si>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</si>
  <si>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</si>
  <si>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</si>
  <si>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</si>
  <si>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</si>
  <si>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</si>
  <si>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</si>
  <si>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</si>
  <si>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</si>
  <si>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</si>
  <si>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</si>
  <si>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</si>
  <si>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</si>
  <si>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</si>
  <si>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</si>
  <si>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</si>
  <si>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</si>
  <si>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</si>
  <si>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</si>
  <si>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</si>
  <si>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</si>
  <si>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</si>
  <si>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</si>
  <si>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</si>
  <si>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</si>
  <si>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</si>
  <si>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</si>
  <si>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</si>
  <si>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</si>
  <si>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</si>
  <si>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</si>
  <si>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</si>
  <si>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</si>
  <si>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</si>
  <si>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</si>
  <si>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</si>
  <si>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</si>
  <si>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</si>
  <si>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</si>
  <si>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</si>
  <si>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</si>
  <si>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</si>
  <si>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</si>
  <si>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</si>
  <si>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</si>
  <si>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</si>
  <si>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</si>
  <si>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</si>
  <si>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</si>
  <si>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</si>
  <si>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</si>
  <si>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</si>
  <si>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</si>
  <si>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</si>
  <si>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</si>
  <si>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</si>
  <si>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</si>
  <si>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</si>
  <si>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</si>
  <si>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</si>
  <si>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</si>
  <si>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</si>
  <si>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</si>
  <si>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</si>
  <si>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</si>
  <si>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</si>
  <si>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</si>
  <si>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</si>
  <si>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</si>
  <si>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</si>
  <si>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</si>
  <si>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</si>
  <si>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</si>
  <si>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</si>
  <si>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</si>
  <si>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</si>
  <si>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</si>
  <si>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</si>
  <si>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</si>
  <si>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</si>
  <si>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</si>
  <si>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</si>
  <si>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</si>
  <si>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</si>
  <si>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</si>
  <si>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</si>
  <si>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</si>
  <si>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</si>
  <si>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</si>
  <si>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</si>
  <si>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</si>
  <si>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</si>
  <si>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</si>
  <si>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</si>
  <si>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</si>
  <si>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</si>
  <si>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</si>
  <si>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</si>
  <si>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</si>
  <si>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</si>
  <si>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</si>
  <si>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</si>
  <si>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</si>
  <si>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</si>
  <si>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</si>
  <si>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</si>
  <si>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</si>
  <si>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</si>
  <si>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</si>
  <si>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</si>
  <si>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</si>
  <si>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</si>
  <si>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</si>
  <si>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</si>
  <si>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</si>
  <si>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</si>
  <si>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</si>
  <si>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</si>
  <si>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</si>
  <si>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</si>
  <si>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</si>
  <si>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</si>
  <si>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</si>
  <si>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</si>
  <si>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</si>
  <si>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</si>
  <si>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</si>
  <si>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</si>
  <si>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</si>
  <si>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</si>
  <si>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</si>
  <si>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</si>
  <si>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</si>
  <si>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</si>
  <si>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</si>
  <si>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</si>
  <si>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</si>
  <si>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</si>
  <si>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</si>
  <si>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</si>
  <si>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</si>
  <si>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</si>
  <si>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</si>
  <si>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</si>
  <si>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</si>
  <si>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</si>
  <si>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</si>
  <si>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</si>
  <si>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</si>
  <si>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</si>
  <si>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</si>
  <si>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</si>
  <si>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</si>
  <si>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</si>
  <si>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</si>
  <si>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</si>
  <si>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</si>
  <si>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</si>
  <si>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</si>
  <si>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</si>
  <si>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</si>
  <si>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</si>
  <si>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</si>
  <si>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</si>
  <si>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</si>
  <si>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</si>
  <si>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</si>
  <si>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</si>
  <si>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</si>
  <si>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</si>
  <si>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</si>
  <si>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</si>
  <si>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</si>
  <si>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</si>
  <si>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</si>
  <si>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</si>
  <si>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</si>
  <si>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</si>
  <si>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</si>
  <si>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</si>
  <si>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</si>
  <si>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</si>
  <si>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</si>
  <si>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</si>
  <si>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</si>
  <si>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</si>
  <si>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</si>
  <si>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</si>
  <si>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</si>
  <si>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</si>
  <si>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</si>
  <si>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</si>
  <si>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</si>
  <si>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</si>
  <si>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</si>
  <si>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</si>
  <si>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</si>
  <si>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</si>
  <si>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</si>
  <si>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</si>
  <si>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</si>
  <si>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</si>
  <si>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</si>
  <si>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</si>
  <si>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</si>
  <si>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</si>
  <si>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</si>
  <si>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</si>
  <si>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</si>
  <si>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</si>
  <si>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</si>
  <si>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</si>
  <si>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</si>
  <si>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</si>
  <si>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</si>
  <si>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</si>
  <si>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</si>
  <si>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</si>
  <si>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</si>
  <si>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</si>
  <si>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</si>
  <si>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</si>
  <si>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</si>
  <si>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</si>
  <si>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</si>
  <si>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</si>
  <si>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</si>
  <si>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</si>
  <si>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</si>
  <si>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</si>
  <si>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</si>
  <si>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</si>
  <si>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</si>
  <si>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</si>
  <si>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</si>
  <si>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</si>
  <si>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</si>
  <si>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</si>
  <si>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</si>
  <si>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</si>
  <si>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</si>
  <si>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</si>
  <si>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</si>
  <si>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</si>
  <si>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</si>
  <si>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</si>
  <si>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</si>
  <si>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</si>
  <si>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</si>
  <si>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</si>
  <si>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</si>
  <si>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</si>
  <si>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</si>
  <si>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</si>
  <si>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</si>
  <si>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</si>
  <si>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</si>
  <si>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</si>
  <si>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</si>
  <si>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</si>
  <si>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</si>
  <si>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</si>
  <si>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</si>
  <si>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</si>
  <si>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</si>
  <si>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</si>
  <si>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</si>
  <si>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</si>
  <si>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</si>
  <si>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</si>
  <si>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</si>
  <si>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</si>
  <si>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</si>
  <si>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</si>
  <si>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</si>
  <si>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</si>
  <si>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</si>
  <si>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</si>
  <si>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</si>
  <si>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</si>
  <si>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</si>
  <si>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</si>
  <si>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</si>
  <si>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</si>
  <si>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</si>
  <si>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</si>
  <si>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</si>
  <si>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</si>
  <si>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</si>
  <si>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</si>
  <si>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</si>
  <si>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</si>
  <si>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</si>
  <si>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</si>
  <si>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</si>
  <si>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</si>
  <si>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</si>
  <si>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</si>
  <si>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</si>
  <si>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</si>
  <si>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</si>
  <si>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</si>
  <si>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</si>
  <si>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</si>
  <si>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</si>
  <si>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</si>
  <si>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</si>
  <si>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</si>
  <si>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</si>
  <si>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</si>
  <si>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</si>
  <si>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</si>
  <si>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</si>
  <si>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</si>
  <si>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</si>
  <si>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</si>
  <si>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</si>
  <si>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</si>
  <si>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</si>
  <si>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</si>
  <si>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</si>
  <si>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</si>
  <si>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</si>
  <si>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</si>
  <si>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</si>
  <si>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</si>
  <si>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</si>
  <si>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</si>
  <si>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</si>
  <si>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</si>
  <si>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</si>
  <si>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</si>
  <si>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</si>
  <si>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</si>
  <si>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</si>
  <si>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</si>
  <si>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</si>
  <si>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</si>
  <si>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</si>
  <si>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</si>
  <si>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</si>
  <si>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</si>
  <si>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</si>
  <si>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</si>
  <si>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</si>
  <si>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</si>
  <si>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</si>
  <si>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</si>
  <si>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</si>
  <si>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</si>
  <si>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</si>
  <si>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</si>
  <si>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</si>
  <si>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</si>
  <si>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</si>
  <si>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</si>
  <si>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</si>
  <si>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</si>
  <si>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</si>
  <si>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</si>
  <si>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</si>
  <si>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</si>
  <si>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</si>
  <si>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</si>
  <si>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</si>
  <si>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</si>
  <si>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</si>
  <si>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</si>
  <si>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</si>
  <si>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</si>
  <si>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</si>
  <si>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</si>
  <si>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</si>
  <si>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</si>
  <si>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</si>
  <si>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</si>
  <si>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</si>
  <si>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</si>
  <si>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</si>
  <si>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</si>
  <si>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</si>
  <si>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</si>
  <si>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</si>
  <si>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</si>
  <si>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</si>
  <si>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</si>
  <si>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</si>
  <si>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</si>
  <si>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</si>
  <si>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</si>
  <si>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</si>
  <si>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</si>
  <si>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</si>
  <si>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</si>
  <si>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</si>
  <si>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</si>
  <si>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</si>
  <si>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</si>
  <si>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</si>
  <si>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</si>
  <si>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</si>
  <si>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</si>
  <si>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</si>
  <si>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</si>
  <si>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</si>
  <si>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</si>
  <si>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</si>
  <si>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</si>
  <si>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</si>
  <si>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</si>
  <si>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</si>
  <si>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</si>
  <si>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</si>
  <si>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</si>
  <si>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</si>
  <si>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</si>
  <si>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</si>
  <si>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</si>
  <si>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</si>
  <si>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</si>
  <si>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</si>
  <si>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</si>
  <si>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</si>
  <si>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</si>
  <si>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</si>
  <si>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</si>
  <si>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</si>
  <si>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</si>
  <si>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</si>
  <si>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</si>
  <si>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</si>
  <si>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</si>
  <si>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</si>
  <si>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</si>
  <si>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</si>
  <si>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</si>
  <si>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</si>
  <si>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</si>
  <si>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</si>
  <si>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</si>
  <si>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</si>
  <si>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</si>
  <si>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</si>
  <si>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</si>
  <si>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</si>
  <si>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</si>
  <si>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</si>
  <si>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</si>
  <si>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</si>
  <si>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</si>
  <si>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</si>
  <si>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</si>
  <si>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</si>
  <si>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</si>
  <si>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</si>
  <si>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</si>
  <si>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</si>
  <si>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</si>
  <si>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</si>
  <si>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</si>
  <si>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</si>
  <si>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</si>
  <si>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</si>
  <si>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</si>
  <si>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</si>
  <si>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</si>
  <si>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</si>
  <si>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</si>
  <si>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</si>
  <si>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</si>
  <si>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</si>
  <si>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</si>
  <si>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</si>
  <si>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</si>
  <si>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</si>
  <si>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</si>
  <si>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</si>
  <si>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</si>
  <si>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</si>
  <si>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</si>
  <si>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</si>
  <si>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</si>
  <si>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</si>
  <si>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</si>
  <si>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</si>
  <si>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</si>
  <si>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</si>
  <si>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</si>
  <si>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</si>
  <si>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</si>
  <si>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</si>
  <si>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</si>
  <si>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</si>
  <si>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</si>
  <si>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</si>
  <si>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</si>
  <si>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</si>
  <si>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</si>
  <si>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</si>
  <si>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</si>
  <si>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</si>
  <si>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</si>
  <si>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</si>
  <si>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</si>
  <si>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</si>
  <si>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</si>
  <si>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</si>
  <si>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</si>
  <si>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</si>
  <si>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</si>
  <si>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</si>
  <si>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</si>
  <si>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</si>
  <si>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</si>
  <si>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</si>
  <si>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</si>
  <si>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</si>
  <si>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</si>
  <si>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</si>
  <si>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</si>
  <si>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</si>
  <si>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</si>
  <si>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</si>
  <si>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</si>
  <si>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</si>
  <si>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</si>
  <si>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</si>
  <si>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</si>
  <si>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</si>
  <si>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</si>
  <si>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</si>
  <si>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</si>
  <si>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</si>
  <si>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</si>
  <si>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</si>
  <si>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</si>
  <si>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</si>
  <si>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</si>
  <si>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</si>
  <si>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</si>
  <si>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</si>
  <si>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</si>
  <si>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</si>
  <si>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</si>
  <si>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</si>
  <si>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</si>
  <si>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</si>
  <si>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</si>
  <si>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</si>
  <si>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</si>
  <si>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</si>
  <si>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</si>
  <si>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</si>
  <si>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</si>
  <si>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</si>
  <si>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</si>
  <si>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</si>
  <si>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</si>
  <si>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</si>
  <si>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</si>
  <si>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</si>
  <si>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</si>
  <si>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</si>
  <si>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</si>
  <si>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</si>
  <si>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</si>
  <si>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</si>
  <si>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</si>
  <si>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</si>
  <si>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</si>
  <si>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</si>
  <si>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</si>
  <si>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</si>
  <si>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</si>
  <si>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</si>
  <si>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</si>
  <si>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</si>
  <si>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</si>
  <si>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</si>
  <si>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</si>
  <si>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</si>
  <si>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</si>
  <si>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</si>
  <si>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</si>
  <si>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</si>
  <si>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</si>
  <si>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</si>
  <si>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</si>
  <si>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</si>
  <si>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</si>
  <si>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</si>
  <si>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</si>
  <si>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</si>
  <si>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</si>
  <si>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</si>
  <si>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</si>
  <si>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</si>
  <si>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</si>
  <si>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</si>
  <si>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</si>
  <si>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</si>
  <si>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</si>
  <si>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</si>
  <si>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</si>
  <si>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</si>
  <si>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</si>
  <si>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</si>
  <si>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</si>
  <si>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</si>
  <si>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</si>
  <si>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</si>
  <si>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</si>
  <si>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</si>
  <si>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</si>
  <si>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</si>
  <si>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</si>
  <si>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</si>
  <si>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</si>
  <si>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</si>
  <si>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</si>
  <si>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</si>
  <si>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</si>
  <si>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</si>
  <si>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</si>
  <si>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</si>
  <si>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</si>
  <si>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</si>
  <si>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</si>
  <si>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</si>
  <si>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</si>
  <si>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</si>
  <si>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</si>
  <si>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</si>
  <si>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</si>
  <si>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</si>
  <si>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</si>
  <si>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</si>
  <si>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</si>
  <si>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</si>
  <si>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</si>
  <si>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</si>
  <si>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</si>
  <si>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</si>
  <si>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</si>
  <si>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</si>
  <si>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</si>
  <si>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</si>
  <si>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</si>
  <si>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</si>
  <si>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</si>
  <si>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</si>
  <si>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</si>
  <si>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</si>
  <si>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</si>
  <si>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</si>
  <si>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</si>
  <si>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</si>
  <si>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</si>
  <si>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</si>
  <si>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</si>
  <si>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</si>
  <si>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</si>
  <si>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</si>
  <si>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</si>
  <si>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</si>
  <si>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</si>
  <si>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</si>
  <si>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</si>
  <si>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</si>
  <si>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</si>
  <si>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</si>
  <si>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</si>
  <si>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</si>
  <si>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</si>
  <si>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</si>
  <si>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</si>
  <si>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</si>
  <si>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</si>
  <si>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</si>
  <si>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</si>
  <si>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</si>
  <si>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</si>
  <si>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</si>
  <si>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</si>
  <si>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</si>
  <si>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</si>
  <si>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</si>
  <si>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</si>
  <si>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</si>
  <si>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</si>
  <si>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</si>
  <si>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</si>
  <si>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</si>
  <si>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</si>
  <si>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</si>
  <si>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</si>
  <si>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</si>
  <si>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</si>
  <si>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</si>
  <si>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</si>
  <si>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</si>
  <si>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</si>
  <si>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</si>
  <si>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</si>
  <si>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</si>
  <si>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</si>
  <si>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</si>
  <si>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</si>
  <si>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</si>
  <si>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</si>
  <si>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</si>
  <si>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</si>
  <si>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</si>
  <si>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</si>
  <si>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</si>
  <si>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</si>
  <si>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</si>
  <si>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</si>
  <si>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</si>
  <si>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</si>
  <si>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</si>
  <si>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</si>
  <si>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</si>
  <si>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</si>
  <si>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</si>
  <si>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</si>
  <si>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</si>
  <si>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</si>
  <si>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</si>
  <si>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</si>
  <si>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</si>
  <si>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</si>
  <si>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</si>
  <si>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</si>
  <si>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</si>
  <si>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</si>
  <si>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</si>
  <si>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</si>
  <si>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</si>
  <si>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</si>
  <si>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</si>
  <si>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</si>
  <si>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</si>
  <si>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</si>
  <si>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</si>
  <si>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</si>
  <si>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</si>
  <si>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</si>
  <si>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</si>
  <si>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</si>
  <si>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</si>
  <si>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</si>
  <si>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</si>
  <si>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</si>
  <si>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</si>
  <si>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</si>
  <si>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</si>
  <si>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</si>
  <si>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</si>
  <si>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</si>
  <si>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</si>
  <si>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</si>
  <si>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</si>
  <si>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</si>
  <si>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</si>
  <si>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</si>
  <si>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</si>
  <si>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</si>
  <si>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</si>
  <si>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</si>
  <si>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</si>
  <si>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</si>
  <si>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</si>
  <si>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</si>
  <si>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</si>
  <si>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</si>
  <si>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</si>
  <si>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</si>
  <si>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</si>
  <si>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</si>
  <si>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</si>
  <si>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</si>
  <si>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</si>
  <si>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</si>
  <si>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</si>
  <si>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</si>
  <si>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</si>
  <si>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</si>
  <si>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</si>
  <si>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</si>
  <si>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</si>
  <si>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</si>
  <si>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</si>
  <si>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</si>
  <si>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</si>
  <si>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</si>
  <si>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</si>
  <si>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</si>
  <si>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</si>
  <si>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</si>
  <si>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</si>
  <si>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</si>
  <si>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</si>
  <si>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</si>
  <si>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</si>
  <si>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</si>
  <si>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</si>
  <si>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</si>
  <si>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</si>
  <si>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</si>
  <si>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</si>
  <si>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</si>
  <si>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</si>
  <si>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</si>
  <si>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</si>
  <si>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</si>
  <si>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</si>
  <si>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</si>
  <si>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</si>
  <si>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</si>
  <si>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</si>
  <si>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</si>
  <si>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</si>
  <si>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</si>
  <si>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</si>
  <si>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</si>
  <si>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</si>
  <si>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</si>
  <si>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</si>
  <si>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</si>
  <si>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</si>
  <si>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</si>
  <si>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</si>
  <si>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</si>
  <si>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</si>
  <si>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</si>
  <si>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</si>
  <si>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</si>
  <si>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</si>
  <si>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</si>
  <si>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</si>
  <si>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</si>
  <si>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</si>
  <si>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</si>
  <si>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</si>
  <si>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</si>
  <si>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</si>
  <si>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</si>
  <si>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</si>
  <si>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</si>
  <si>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</si>
  <si>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</si>
  <si>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</si>
  <si>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</si>
  <si>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</si>
  <si>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</si>
  <si>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</si>
  <si>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</si>
  <si>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</si>
  <si>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</si>
  <si>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</si>
  <si>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</si>
  <si>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</si>
  <si>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</si>
  <si>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</si>
  <si>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</si>
  <si>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</si>
  <si>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</si>
  <si>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</si>
  <si>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</si>
  <si>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</si>
  <si>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</si>
  <si>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</si>
  <si>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</si>
  <si>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</si>
  <si>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</si>
  <si>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</si>
  <si>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</si>
  <si>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</si>
  <si>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</si>
  <si>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</si>
  <si>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</si>
  <si>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</si>
  <si>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</si>
  <si>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</si>
  <si>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</si>
  <si>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</si>
  <si>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</si>
  <si>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</si>
  <si>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</si>
  <si>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</si>
  <si>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</si>
  <si>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</si>
  <si>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</si>
  <si>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</si>
  <si>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</si>
  <si>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</si>
  <si>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</si>
  <si>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</si>
  <si>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</si>
  <si>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</si>
  <si>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</si>
  <si>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</si>
  <si>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</si>
  <si>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</si>
  <si>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</si>
  <si>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</si>
  <si>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</si>
  <si>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</si>
  <si>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</si>
  <si>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</si>
  <si>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</si>
  <si>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</si>
  <si>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</si>
  <si>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</si>
  <si>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</si>
  <si>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</si>
  <si>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</si>
  <si>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</si>
  <si>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</si>
  <si>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</si>
  <si>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</si>
  <si>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</si>
  <si>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</si>
  <si>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</si>
  <si>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</si>
  <si>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</si>
  <si>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</si>
  <si>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</si>
  <si>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</si>
  <si>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</si>
  <si>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</si>
  <si>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</si>
  <si>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</si>
  <si>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</si>
  <si>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</si>
  <si>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</si>
  <si>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</si>
  <si>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</si>
  <si>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</si>
  <si>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</si>
  <si>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</si>
  <si>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</si>
  <si>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</si>
  <si>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</si>
  <si>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</si>
  <si>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</si>
  <si>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</si>
  <si>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</si>
  <si>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</si>
  <si>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</si>
  <si>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</si>
  <si>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</si>
  <si>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</si>
  <si>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</si>
  <si>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</si>
  <si>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</si>
  <si>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</si>
  <si>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</si>
  <si>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</si>
  <si>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</si>
  <si>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</si>
  <si>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</si>
  <si>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</si>
  <si>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</si>
  <si>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</si>
  <si>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</si>
  <si>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</si>
  <si>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</si>
  <si>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</si>
  <si>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</si>
  <si>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</si>
  <si>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</si>
  <si>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</si>
  <si>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</si>
  <si>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</si>
  <si>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</si>
  <si>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</si>
  <si>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</si>
  <si>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</si>
  <si>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</si>
  <si>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</si>
  <si>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</si>
  <si>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</si>
  <si>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</si>
  <si>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</si>
  <si>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</si>
  <si>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</si>
  <si>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</si>
  <si>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</si>
  <si>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</si>
  <si>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</si>
  <si>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</si>
  <si>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</si>
  <si>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</si>
  <si>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</si>
  <si>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</si>
  <si>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</si>
  <si>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</si>
  <si>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</si>
  <si>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</si>
  <si>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</si>
  <si>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</si>
  <si>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</si>
  <si>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</si>
  <si>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</si>
  <si>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</si>
  <si>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</si>
  <si>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</si>
  <si>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</si>
  <si>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</si>
  <si>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</si>
  <si>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</si>
  <si>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</si>
  <si>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</si>
  <si>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</si>
  <si>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</si>
  <si>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</si>
  <si>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</si>
  <si>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</si>
  <si>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</si>
  <si>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</si>
  <si>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</si>
  <si>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</si>
  <si>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</si>
  <si>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</si>
  <si>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</si>
  <si>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</si>
  <si>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</si>
  <si>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</si>
  <si>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</si>
  <si>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</si>
  <si>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</si>
  <si>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</si>
  <si>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</si>
  <si>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</si>
  <si>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</si>
  <si>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</si>
  <si>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</si>
  <si>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</si>
  <si>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</si>
  <si>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</si>
  <si>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</si>
  <si>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</si>
  <si>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</si>
  <si>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</si>
  <si>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</si>
  <si>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</si>
  <si>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</si>
  <si>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</si>
  <si>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</si>
  <si>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</si>
  <si>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</si>
  <si>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</si>
  <si>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</si>
  <si>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</si>
  <si>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</si>
  <si>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</si>
  <si>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</si>
  <si>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</si>
  <si>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</si>
  <si>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</si>
  <si>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</si>
  <si>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</si>
  <si>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</si>
  <si>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</si>
  <si>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</si>
  <si>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</si>
  <si>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</si>
  <si>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</si>
  <si>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</si>
  <si>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</si>
  <si>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</si>
  <si>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</si>
  <si>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</si>
  <si>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</si>
  <si>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</si>
  <si>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</si>
  <si>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</si>
  <si>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</si>
  <si>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</si>
  <si>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</si>
  <si>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</si>
  <si>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</si>
  <si>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</si>
  <si>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</si>
  <si>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</si>
  <si>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</si>
  <si>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</si>
  <si>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</si>
  <si>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</si>
  <si>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</si>
  <si>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</si>
  <si>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</si>
  <si>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</si>
  <si>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</si>
  <si>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</si>
  <si>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</si>
  <si>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</si>
  <si>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</si>
  <si>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</si>
  <si>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</si>
  <si>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</si>
  <si>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</si>
  <si>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</si>
  <si>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</si>
  <si>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</si>
  <si>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</si>
  <si>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</si>
  <si>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</si>
  <si>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</si>
  <si>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</si>
  <si>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</si>
  <si>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</si>
  <si>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</si>
  <si>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</si>
  <si>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</si>
  <si>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</si>
  <si>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</si>
  <si>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</si>
  <si>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</si>
  <si>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</si>
  <si>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</si>
  <si>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</si>
  <si>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</si>
  <si>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</si>
  <si>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</si>
  <si>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</si>
  <si>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</si>
  <si>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</si>
  <si>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</si>
  <si>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</si>
  <si>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</si>
  <si>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</si>
  <si>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</si>
  <si>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</si>
  <si>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</si>
  <si>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</si>
  <si>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</si>
  <si>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</si>
  <si>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</si>
  <si>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</si>
  <si>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</si>
  <si>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</si>
  <si>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</si>
  <si>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</si>
  <si>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</si>
  <si>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</si>
  <si>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</si>
  <si>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</si>
  <si>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</si>
  <si>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</si>
  <si>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</si>
  <si>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</si>
  <si>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</si>
  <si>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</si>
  <si>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</si>
  <si>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</si>
  <si>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</si>
  <si>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</si>
  <si>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</si>
  <si>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</si>
  <si>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</si>
  <si>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</si>
  <si>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</si>
  <si>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</si>
  <si>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</si>
  <si>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</si>
  <si>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</si>
  <si>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</si>
  <si>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</si>
  <si>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</si>
  <si>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</si>
  <si>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</si>
  <si>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</si>
  <si>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</si>
  <si>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</si>
  <si>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</si>
  <si>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</si>
  <si>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</si>
  <si>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</si>
  <si>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</si>
  <si>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</si>
  <si>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</si>
  <si>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</si>
  <si>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</si>
  <si>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</si>
  <si>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</si>
  <si>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</si>
  <si>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</si>
  <si>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</si>
  <si>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</si>
  <si>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</si>
  <si>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</si>
  <si>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</si>
  <si>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</si>
  <si>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</si>
  <si>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</si>
  <si>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</si>
  <si>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</si>
  <si>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</si>
  <si>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</si>
  <si>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</si>
  <si>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</si>
  <si>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</si>
  <si>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</si>
  <si>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</si>
  <si>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</si>
  <si>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</si>
  <si>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</si>
  <si>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</si>
  <si>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</si>
  <si>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</si>
  <si>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</si>
  <si>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</si>
  <si>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</si>
  <si>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</si>
  <si>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</si>
  <si>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</si>
  <si>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</si>
  <si>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</si>
  <si>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</si>
  <si>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</si>
  <si>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</si>
  <si>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</si>
  <si>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</si>
  <si>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</si>
  <si>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</si>
  <si>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</si>
  <si>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</si>
  <si>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</si>
  <si>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</si>
  <si>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</si>
  <si>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</si>
  <si>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</si>
  <si>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</si>
  <si>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</si>
  <si>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</si>
  <si>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</si>
  <si>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</si>
  <si>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</si>
  <si>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</si>
  <si>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</si>
  <si>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</si>
  <si>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</si>
  <si>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</si>
  <si>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</si>
  <si>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</si>
  <si>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</si>
  <si>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</si>
  <si>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</si>
  <si>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</si>
  <si>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</si>
  <si>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</si>
  <si>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</si>
  <si>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</si>
  <si>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</si>
  <si>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</si>
  <si>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</si>
  <si>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</si>
  <si>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</si>
  <si>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</si>
  <si>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</si>
  <si>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</si>
  <si>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</si>
  <si>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</si>
  <si>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</si>
  <si>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</si>
  <si>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</si>
  <si>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</si>
  <si>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</si>
  <si>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</si>
  <si>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</si>
  <si>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</si>
  <si>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</si>
  <si>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</si>
  <si>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</si>
  <si>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</si>
  <si>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</si>
  <si>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</si>
  <si>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</si>
  <si>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</si>
  <si>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</si>
  <si>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</si>
  <si>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</si>
  <si>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</si>
  <si>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</si>
  <si>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</si>
  <si>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</si>
  <si>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</si>
  <si>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</si>
  <si>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</si>
  <si>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</si>
  <si>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</si>
  <si>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</si>
  <si>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</si>
  <si>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</si>
  <si>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</si>
  <si>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</si>
  <si>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</si>
  <si>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</si>
  <si>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</si>
  <si>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</si>
  <si>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</si>
  <si>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</si>
  <si>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</si>
  <si>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</si>
  <si>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</si>
  <si>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</si>
  <si>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</si>
  <si>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</si>
  <si>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</si>
  <si>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</si>
  <si>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</si>
  <si>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</si>
  <si>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</si>
  <si>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</si>
  <si>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</si>
  <si>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</si>
  <si>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</si>
  <si>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</si>
  <si>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</si>
  <si>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</si>
  <si>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</si>
  <si>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</si>
  <si>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</si>
  <si>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</si>
  <si>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</si>
  <si>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</si>
  <si>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</si>
  <si>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</si>
  <si>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</si>
  <si>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</si>
  <si>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</si>
  <si>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</si>
  <si>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</si>
  <si>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</si>
  <si>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</si>
  <si>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</si>
  <si>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</si>
  <si>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</si>
  <si>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</si>
  <si>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</si>
  <si>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</si>
  <si>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</si>
  <si>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</si>
  <si>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</si>
  <si>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</si>
  <si>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</si>
  <si>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</si>
  <si>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</si>
  <si>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</si>
  <si>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</si>
  <si>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</si>
  <si>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</si>
  <si>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</si>
  <si>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</si>
  <si>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</si>
  <si>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</si>
  <si>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</si>
  <si>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</si>
  <si>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</si>
  <si>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</si>
  <si>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</si>
  <si>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</si>
  <si>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</si>
  <si>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</si>
  <si>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</si>
  <si>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</si>
  <si>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</si>
  <si>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</si>
  <si>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</si>
  <si>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</si>
  <si>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</si>
  <si>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</si>
  <si>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</si>
  <si>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</si>
  <si>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</si>
  <si>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</si>
  <si>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</si>
  <si>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</si>
  <si>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</si>
  <si>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</si>
  <si>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</si>
  <si>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</si>
  <si>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</si>
  <si>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</si>
  <si>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</si>
  <si>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</si>
  <si>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</si>
  <si>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</si>
  <si>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</si>
  <si>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</si>
  <si>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</si>
  <si>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</si>
  <si>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</si>
  <si>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</si>
  <si>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</si>
  <si>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</si>
  <si>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</si>
  <si>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</si>
  <si>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</si>
  <si>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</si>
  <si>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</si>
  <si>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</si>
  <si>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</si>
  <si>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</si>
  <si>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</si>
  <si>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</si>
  <si>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</si>
  <si>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</si>
  <si>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</si>
  <si>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</si>
  <si>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</si>
  <si>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</si>
  <si>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</si>
  <si>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</si>
  <si>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</si>
  <si>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</si>
  <si>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</si>
  <si>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</si>
  <si>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</si>
  <si>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</si>
  <si>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</si>
  <si>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</si>
  <si>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</si>
  <si>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</si>
  <si>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</si>
  <si>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</si>
  <si>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</si>
  <si>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</si>
  <si>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</si>
  <si>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</si>
  <si>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</si>
  <si>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</si>
  <si>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</si>
  <si>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</si>
  <si>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</si>
  <si>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</si>
  <si>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</si>
  <si>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</si>
  <si>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</si>
  <si>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</si>
  <si>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</si>
  <si>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</si>
  <si>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</si>
  <si>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</si>
  <si>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</si>
  <si>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</si>
  <si>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</si>
  <si>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</si>
  <si>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</si>
  <si>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</si>
  <si>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</si>
  <si>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</si>
  <si>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</si>
  <si>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</si>
  <si>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</si>
  <si>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</si>
  <si>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</si>
  <si>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</si>
  <si>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</si>
  <si>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</si>
  <si>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</si>
  <si>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</si>
  <si>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</si>
  <si>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</si>
  <si>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</si>
  <si>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</si>
  <si>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</si>
  <si>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</si>
  <si>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</si>
  <si>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</si>
  <si>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</si>
  <si>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</si>
  <si>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</si>
  <si>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</si>
  <si>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</si>
  <si>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</si>
  <si>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</si>
  <si>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</si>
  <si>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</si>
  <si>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</si>
  <si>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</si>
  <si>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</si>
  <si>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</si>
  <si>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</si>
  <si>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</si>
  <si>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</si>
  <si>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</si>
  <si>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</si>
  <si>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</si>
  <si>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</si>
  <si>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</si>
  <si>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</si>
  <si>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</si>
  <si>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</si>
  <si>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</si>
  <si>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</si>
  <si>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</si>
  <si>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</si>
  <si>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</si>
  <si>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</si>
  <si>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</si>
  <si>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</si>
  <si>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</si>
  <si>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</si>
  <si>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</si>
  <si>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</si>
  <si>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</si>
  <si>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</si>
  <si>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</si>
  <si>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</si>
  <si>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</si>
  <si>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</si>
  <si>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</si>
  <si>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</si>
  <si>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</si>
  <si>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</si>
  <si>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</si>
  <si>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</si>
  <si>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</si>
  <si>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</si>
  <si>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</si>
  <si>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</si>
  <si>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</si>
  <si>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</si>
  <si>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</si>
  <si>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</si>
  <si>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</si>
  <si>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</si>
  <si>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</si>
  <si>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</si>
  <si>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</si>
  <si>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</si>
  <si>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</si>
  <si>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</si>
  <si>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</si>
  <si>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</si>
  <si>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</si>
  <si>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</si>
  <si>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</si>
  <si>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</si>
  <si>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</si>
  <si>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</si>
  <si>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</si>
  <si>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</si>
  <si>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</si>
  <si>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</si>
  <si>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</si>
  <si>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</si>
  <si>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</si>
  <si>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</si>
  <si>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</si>
  <si>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</si>
  <si>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</si>
  <si>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</si>
  <si>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</si>
  <si>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</si>
  <si>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</si>
  <si>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</si>
  <si>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</si>
  <si>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</si>
  <si>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</si>
  <si>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</si>
  <si>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</si>
  <si>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</si>
  <si>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</si>
  <si>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</si>
  <si>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</si>
  <si>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</si>
  <si>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</si>
  <si>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</si>
  <si>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</si>
  <si>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</si>
  <si>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</si>
  <si>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</si>
  <si>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</si>
  <si>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</si>
  <si>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</si>
  <si>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</si>
  <si>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</si>
  <si>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</si>
  <si>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</si>
  <si>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</si>
  <si>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</si>
  <si>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</si>
  <si>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</si>
  <si>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</si>
  <si>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</si>
  <si>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</si>
  <si>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</si>
  <si>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</si>
  <si>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</si>
  <si>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</si>
  <si>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</si>
  <si>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</si>
  <si>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</si>
  <si>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</si>
  <si>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</si>
  <si>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</si>
  <si>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</si>
  <si>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</si>
  <si>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</si>
  <si>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</si>
  <si>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</si>
  <si>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</si>
  <si>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</si>
  <si>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</si>
  <si>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</si>
  <si>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</si>
  <si>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</si>
  <si>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</si>
  <si>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</si>
  <si>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</si>
  <si>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</si>
  <si>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</si>
  <si>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</si>
  <si>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</si>
  <si>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</si>
  <si>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</si>
  <si>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</si>
  <si>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</si>
  <si>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</si>
  <si>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</si>
  <si>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</si>
  <si>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</si>
  <si>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</si>
  <si>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</si>
  <si>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</si>
  <si>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</si>
  <si>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</si>
  <si>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</si>
  <si>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</si>
  <si>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</si>
  <si>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</si>
  <si>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</si>
  <si>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</si>
  <si>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</si>
  <si>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</si>
  <si>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</si>
  <si>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</si>
  <si>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</si>
  <si>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</si>
  <si>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</si>
  <si>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</si>
  <si>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</si>
  <si>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</si>
  <si>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</si>
  <si>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</si>
  <si>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</si>
  <si>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</si>
  <si>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</si>
  <si>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</si>
  <si>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</si>
  <si>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</si>
  <si>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</si>
  <si>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</si>
  <si>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</si>
  <si>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</si>
  <si>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</si>
  <si>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</si>
  <si>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</si>
  <si>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</si>
  <si>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</si>
  <si>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</si>
  <si>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</si>
  <si>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</si>
  <si>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</si>
  <si>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</si>
  <si>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</si>
  <si>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</si>
  <si>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</si>
  <si>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</si>
  <si>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</si>
  <si>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</si>
  <si>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</si>
  <si>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</si>
  <si>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</si>
  <si>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</si>
  <si>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</si>
  <si>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</si>
  <si>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</si>
  <si>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</si>
  <si>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</si>
  <si>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</si>
  <si>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</si>
  <si>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</si>
  <si>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</si>
  <si>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</si>
  <si>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</si>
  <si>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</si>
  <si>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</si>
  <si>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</si>
  <si>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</si>
  <si>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</si>
  <si>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</si>
  <si>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</si>
  <si>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</si>
  <si>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</si>
  <si>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</si>
  <si>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</si>
  <si>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</si>
  <si>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</si>
  <si>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</si>
  <si>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</si>
  <si>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</si>
  <si>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</si>
  <si>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</si>
  <si>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</si>
  <si>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</si>
  <si>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</si>
  <si>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</si>
  <si>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</si>
  <si>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</si>
  <si>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</si>
  <si>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</si>
  <si>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</si>
  <si>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</si>
  <si>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</si>
  <si>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</si>
  <si>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</si>
  <si>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</si>
  <si>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</si>
  <si>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</si>
  <si>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</si>
  <si>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</si>
  <si>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</si>
  <si>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</si>
  <si>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</si>
  <si>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</si>
  <si>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</si>
  <si>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</si>
  <si>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</si>
  <si>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</si>
  <si>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</si>
  <si>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</si>
  <si>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</si>
  <si>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</si>
  <si>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</si>
  <si>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</si>
  <si>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</si>
  <si>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</si>
  <si>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</si>
  <si>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</si>
  <si>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</si>
  <si>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</si>
  <si>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</si>
  <si>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</si>
  <si>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</si>
  <si>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</si>
  <si>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</si>
  <si>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</si>
  <si>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</si>
  <si>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</si>
  <si>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</si>
  <si>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</si>
  <si>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</si>
  <si>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</si>
  <si>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</si>
  <si>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</si>
  <si>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</si>
  <si>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</si>
  <si>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</si>
  <si>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</si>
  <si>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</si>
  <si>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</si>
  <si>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</si>
  <si>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</si>
  <si>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</si>
  <si>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</si>
  <si>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</si>
  <si>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</si>
  <si>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</si>
  <si>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</si>
  <si>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</si>
  <si>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</si>
  <si>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</si>
  <si>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</si>
  <si>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</si>
  <si>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</si>
  <si>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</si>
  <si>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</si>
  <si>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</si>
  <si>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</si>
  <si>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</si>
  <si>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</si>
  <si>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</si>
  <si>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</si>
  <si>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</si>
  <si>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</si>
  <si>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</si>
  <si>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</si>
  <si>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</si>
  <si>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</si>
  <si>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</si>
  <si>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</si>
  <si>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</si>
  <si>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</si>
  <si>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</si>
  <si>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</si>
  <si>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</si>
  <si>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</si>
  <si>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</si>
  <si>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</si>
  <si>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</si>
  <si>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</si>
  <si>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</si>
  <si>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</si>
  <si>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</si>
  <si>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</si>
  <si>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</si>
  <si>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</si>
  <si>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</si>
  <si>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</si>
  <si>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</si>
  <si>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</si>
  <si>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</si>
  <si>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</si>
  <si>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</si>
  <si>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</si>
  <si>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</si>
  <si>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</si>
  <si>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</si>
  <si>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</si>
  <si>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</si>
  <si>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</si>
  <si>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</si>
  <si>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</si>
  <si>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</si>
  <si>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</si>
  <si>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</si>
  <si>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</si>
  <si>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</si>
  <si>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</si>
  <si>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</si>
  <si>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</si>
  <si>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</si>
  <si>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</si>
  <si>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</si>
  <si>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</si>
  <si>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</si>
  <si>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</si>
  <si>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</si>
  <si>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</si>
  <si>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</si>
  <si>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</si>
  <si>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</si>
  <si>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</si>
  <si>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</si>
  <si>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</si>
  <si>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</si>
  <si>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</si>
  <si>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</si>
  <si>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</si>
  <si>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</si>
  <si>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</si>
  <si>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</si>
  <si>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</si>
  <si>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</si>
  <si>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</si>
  <si>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</si>
  <si>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</si>
  <si>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</si>
  <si>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</si>
  <si>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</si>
  <si>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</si>
  <si>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</si>
  <si>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</si>
  <si>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</si>
  <si>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</si>
  <si>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</si>
  <si>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</si>
  <si>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</si>
  <si>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</si>
  <si>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</si>
  <si>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</si>
  <si>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</si>
  <si>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</si>
  <si>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</si>
  <si>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</si>
  <si>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</si>
  <si>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</si>
  <si>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</si>
  <si>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</si>
  <si>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</si>
  <si>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</si>
  <si>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</si>
  <si>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</si>
  <si>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</si>
  <si>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</si>
  <si>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</si>
  <si>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</si>
  <si>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</si>
  <si>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</si>
  <si>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</si>
  <si>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</si>
  <si>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</si>
  <si>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</si>
  <si>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</si>
  <si>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</si>
  <si>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</si>
  <si>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</si>
  <si>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</si>
  <si>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</si>
  <si>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</si>
  <si>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</si>
  <si>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</si>
  <si>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</si>
  <si>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</si>
  <si>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</si>
  <si>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</si>
  <si>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</si>
  <si>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</si>
  <si>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</si>
  <si>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</si>
  <si>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</si>
  <si>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</si>
  <si>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</si>
  <si>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</si>
  <si>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</si>
  <si>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</si>
  <si>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</si>
  <si>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</si>
  <si>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</si>
  <si>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</si>
  <si>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</si>
  <si>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</si>
  <si>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</si>
  <si>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</si>
  <si>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</si>
  <si>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</si>
  <si>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</si>
  <si>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</si>
  <si>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</si>
  <si>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</si>
  <si>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</si>
  <si>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</si>
  <si>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</si>
  <si>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</si>
  <si>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</si>
  <si>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</si>
  <si>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</si>
  <si>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</si>
  <si>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</si>
  <si>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</si>
  <si>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</si>
  <si>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</si>
  <si>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</si>
  <si>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</si>
  <si>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</si>
  <si>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</si>
  <si>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</si>
  <si>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</si>
  <si>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</si>
  <si>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</si>
  <si>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</si>
  <si>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</si>
  <si>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</si>
  <si>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</si>
  <si>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</si>
  <si>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</si>
  <si>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</si>
  <si>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</si>
  <si>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</si>
  <si>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</si>
  <si>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</si>
  <si>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</si>
  <si>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</si>
  <si>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</si>
  <si>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</si>
  <si>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</si>
  <si>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</si>
  <si>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</si>
  <si>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</si>
  <si>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</si>
  <si>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</si>
  <si>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</si>
  <si>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</si>
  <si>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</si>
  <si>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</si>
  <si>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</si>
  <si>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</si>
  <si>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</si>
  <si>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</si>
  <si>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</si>
  <si>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</si>
  <si>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</si>
  <si>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</si>
  <si>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</si>
  <si>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</si>
  <si>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</si>
  <si>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</si>
  <si>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</si>
  <si>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</si>
  <si>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</si>
  <si>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</si>
  <si>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</si>
  <si>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</si>
  <si>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</si>
  <si>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</si>
  <si>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</si>
  <si>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</si>
  <si>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</si>
  <si>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</si>
  <si>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</si>
  <si>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</si>
  <si>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</si>
  <si>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</si>
  <si>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</si>
  <si>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</si>
  <si>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</si>
  <si>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</si>
  <si>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</si>
  <si>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</si>
  <si>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</si>
  <si>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</si>
  <si>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</si>
  <si>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</si>
  <si>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</si>
  <si>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</si>
  <si>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</si>
  <si>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</si>
  <si>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</si>
  <si>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</si>
  <si>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</si>
  <si>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</si>
  <si>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</si>
  <si>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</si>
  <si>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</si>
  <si>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</si>
  <si>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</si>
  <si>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</si>
  <si>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</si>
  <si>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</si>
  <si>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</si>
  <si>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</si>
  <si>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</si>
  <si>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</si>
  <si>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</si>
  <si>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</si>
  <si>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</si>
  <si>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</si>
  <si>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</si>
  <si>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</si>
  <si>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</si>
  <si>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</si>
  <si>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</si>
  <si>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</si>
  <si>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</si>
  <si>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</si>
  <si>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</si>
  <si>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</si>
  <si>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</si>
  <si>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</si>
  <si>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</si>
  <si>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</si>
  <si>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</si>
  <si>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</si>
  <si>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</si>
  <si>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</si>
  <si>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</si>
  <si>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</si>
  <si>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</si>
  <si>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</si>
  <si>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</si>
  <si>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</si>
  <si>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</si>
  <si>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</si>
  <si>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</si>
  <si>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</si>
  <si>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</si>
  <si>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</si>
  <si>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</si>
  <si>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</si>
  <si>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</si>
  <si>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</si>
  <si>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</si>
  <si>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</si>
  <si>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</si>
  <si>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</si>
  <si>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</si>
  <si>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</si>
  <si>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</si>
  <si>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</si>
  <si>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</si>
  <si>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</si>
  <si>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</si>
  <si>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</si>
  <si>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</si>
  <si>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</si>
  <si>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</si>
  <si>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</si>
  <si>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</si>
  <si>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</si>
  <si>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</si>
  <si>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</si>
  <si>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</si>
  <si>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</si>
  <si>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</si>
  <si>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</si>
  <si>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</si>
  <si>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</si>
  <si>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</si>
  <si>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</si>
  <si>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</si>
  <si>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</si>
  <si>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</si>
  <si>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</si>
  <si>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</si>
  <si>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</si>
  <si>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</si>
  <si>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</si>
  <si>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</si>
  <si>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</si>
  <si>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</si>
  <si>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</si>
  <si>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</si>
  <si>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</si>
  <si>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</si>
  <si>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</si>
  <si>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</si>
  <si>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</si>
  <si>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</si>
  <si>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</si>
  <si>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</si>
  <si>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</si>
  <si>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</si>
  <si>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</si>
  <si>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</si>
  <si>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</si>
  <si>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</si>
  <si>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</si>
  <si>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</si>
  <si>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</si>
  <si>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</si>
  <si>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</si>
  <si>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</si>
  <si>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</si>
  <si>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</si>
  <si>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</si>
  <si>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</si>
  <si>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</si>
  <si>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</si>
  <si>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</si>
  <si>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</si>
  <si>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</si>
  <si>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</si>
  <si>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</si>
  <si>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</si>
  <si>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</si>
  <si>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</si>
  <si>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</si>
  <si>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</si>
  <si>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</si>
  <si>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</si>
  <si>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</si>
  <si>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</si>
  <si>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</si>
  <si>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</si>
  <si>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</si>
  <si>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</si>
  <si>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</si>
  <si>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</si>
  <si>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</si>
  <si>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</si>
  <si>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</si>
  <si>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</si>
  <si>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</si>
  <si>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</si>
  <si>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</si>
  <si>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</si>
  <si>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</si>
  <si>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</si>
  <si>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</si>
  <si>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</si>
  <si>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</si>
  <si>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</si>
  <si>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</si>
  <si>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</si>
  <si>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</si>
  <si>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</si>
  <si>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</si>
  <si>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</si>
  <si>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</si>
  <si>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</si>
  <si>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</si>
  <si>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</si>
  <si>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</si>
  <si>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</si>
  <si>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</si>
  <si>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</si>
  <si>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</si>
  <si>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</si>
  <si>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</si>
  <si>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</si>
  <si>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</si>
  <si>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</si>
  <si>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</si>
  <si>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</si>
  <si>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</si>
  <si>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</si>
  <si>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</si>
  <si>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</si>
  <si>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</si>
  <si>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</si>
  <si>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</si>
  <si>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</si>
  <si>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</si>
  <si>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</si>
  <si>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</si>
  <si>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</si>
  <si>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</si>
  <si>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</si>
  <si>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</si>
  <si>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</si>
  <si>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</si>
  <si>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</si>
  <si>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</si>
  <si>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</si>
  <si>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</si>
  <si>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</si>
  <si>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</si>
  <si>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</si>
  <si>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</si>
  <si>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</si>
  <si>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</si>
  <si>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</si>
  <si>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</si>
  <si>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</si>
  <si>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</si>
  <si>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</si>
  <si>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</si>
  <si>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</si>
  <si>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</si>
  <si>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</si>
  <si>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</si>
  <si>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</si>
  <si>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</si>
  <si>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</si>
  <si>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</si>
  <si>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</si>
  <si>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</si>
  <si>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</si>
  <si>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</si>
  <si>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</si>
  <si>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</si>
  <si>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</si>
  <si>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</si>
  <si>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</si>
  <si>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</si>
  <si>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</si>
  <si>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</si>
  <si>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</si>
  <si>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</si>
  <si>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</si>
  <si>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</si>
  <si>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</si>
  <si>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</si>
  <si>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</si>
  <si>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</si>
  <si>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</si>
  <si>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</si>
  <si>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</si>
  <si>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</si>
  <si>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</si>
  <si>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</si>
  <si>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</si>
  <si>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</si>
  <si>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</si>
  <si>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</si>
  <si>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</si>
  <si>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</si>
  <si>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</si>
  <si>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</si>
  <si>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</si>
  <si>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</si>
  <si>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</si>
  <si>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</si>
  <si>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</si>
  <si>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</si>
  <si>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</si>
  <si>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</si>
  <si>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</si>
  <si>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</si>
  <si>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</si>
  <si>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</si>
  <si>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</si>
  <si>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</si>
  <si>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</si>
  <si>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</si>
  <si>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</si>
  <si>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</si>
  <si>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</si>
  <si>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</si>
  <si>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</si>
  <si>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</si>
  <si>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</si>
  <si>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</si>
  <si>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</si>
  <si>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</si>
  <si>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</si>
  <si>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</si>
  <si>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</si>
  <si>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</si>
  <si>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</si>
  <si>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</si>
  <si>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</si>
  <si>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</si>
  <si>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</si>
  <si>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</si>
  <si>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</si>
  <si>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</si>
  <si>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</si>
  <si>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</si>
  <si>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</si>
  <si>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</si>
  <si>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</si>
  <si>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</si>
  <si>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</si>
  <si>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</si>
  <si>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</si>
  <si>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</si>
  <si>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</si>
  <si>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</si>
  <si>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</si>
  <si>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</si>
  <si>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</si>
  <si>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</si>
  <si>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</si>
  <si>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</si>
  <si>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</si>
  <si>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</si>
  <si>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</si>
  <si>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</si>
  <si>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</si>
  <si>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</si>
  <si>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</si>
  <si>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</si>
  <si>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</si>
  <si>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</si>
  <si>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</si>
  <si>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</si>
  <si>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</si>
  <si>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</si>
  <si>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</si>
  <si>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</si>
  <si>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</si>
  <si>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</si>
  <si>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</si>
  <si>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</si>
  <si>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</si>
  <si>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</si>
  <si>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</si>
  <si>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</si>
  <si>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</si>
  <si>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</si>
  <si>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</si>
  <si>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</si>
  <si>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</si>
  <si>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</si>
  <si>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</si>
  <si>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</si>
  <si>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</si>
  <si>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</si>
  <si>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</si>
  <si>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</si>
  <si>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</si>
  <si>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</si>
  <si>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</si>
  <si>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</si>
  <si>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</si>
  <si>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</si>
  <si>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</si>
  <si>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</si>
  <si>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</si>
  <si>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</si>
  <si>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</si>
  <si>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</si>
  <si>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</si>
  <si>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</si>
  <si>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</si>
  <si>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</si>
  <si>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</si>
  <si>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</si>
  <si>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</si>
  <si>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</si>
  <si>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</si>
  <si>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</si>
  <si>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</si>
  <si>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</si>
  <si>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</si>
  <si>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</si>
  <si>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</si>
  <si>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</si>
  <si>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</si>
  <si>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</si>
  <si>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</si>
  <si>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</si>
  <si>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</si>
  <si>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</si>
  <si>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</si>
  <si>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</si>
  <si>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</si>
  <si>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</si>
  <si>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</si>
  <si>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</si>
  <si>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</si>
  <si>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</si>
  <si>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</si>
  <si>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</si>
  <si>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</si>
  <si>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</si>
  <si>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</si>
  <si>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</si>
  <si>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</si>
  <si>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</si>
  <si>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</si>
  <si>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</si>
  <si>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</si>
  <si>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</si>
  <si>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</si>
  <si>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</si>
  <si>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</si>
  <si>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</si>
  <si>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</si>
  <si>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</si>
  <si>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</si>
  <si>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</si>
  <si>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</si>
  <si>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</si>
  <si>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</si>
  <si>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</si>
  <si>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</si>
  <si>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</si>
  <si>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</si>
  <si>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</si>
  <si>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</si>
  <si>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</si>
  <si>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</si>
  <si>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</si>
  <si>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</si>
  <si>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</si>
  <si>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</si>
  <si>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</si>
  <si>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</si>
  <si>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</si>
  <si>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</si>
  <si>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</si>
  <si>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</si>
  <si>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</si>
  <si>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</si>
  <si>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</si>
  <si>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</si>
  <si>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</si>
  <si>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</si>
  <si>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</si>
  <si>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</si>
  <si>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</si>
  <si>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</si>
  <si>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</si>
  <si>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</si>
  <si>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</si>
  <si>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</si>
  <si>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</si>
  <si>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</si>
  <si>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</si>
  <si>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</si>
  <si>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</si>
  <si>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</si>
  <si>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</si>
  <si>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</si>
  <si>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</si>
  <si>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</si>
  <si>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</si>
  <si>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</si>
  <si>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</si>
  <si>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</si>
  <si>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</si>
  <si>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</si>
  <si>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</si>
  <si>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</si>
  <si>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</si>
  <si>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</si>
  <si>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</si>
  <si>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</si>
  <si>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</si>
  <si>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</si>
  <si>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</si>
  <si>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</si>
  <si>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</si>
  <si>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</si>
  <si>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</si>
  <si>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</si>
  <si>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</si>
  <si>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</si>
  <si>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</si>
  <si>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</si>
  <si>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</si>
  <si>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</si>
  <si>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</si>
  <si>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</si>
  <si>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</si>
  <si>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</si>
  <si>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</si>
  <si>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</si>
  <si>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</si>
  <si>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</si>
  <si>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</si>
  <si>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</si>
  <si>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</si>
  <si>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</si>
  <si>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</si>
  <si>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</si>
  <si>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</si>
  <si>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</si>
  <si>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</si>
  <si>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</si>
  <si>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</si>
  <si>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</si>
  <si>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</si>
  <si>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</si>
  <si>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</si>
  <si>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</si>
  <si>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</si>
  <si>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</si>
  <si>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</si>
  <si>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</si>
  <si>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</si>
  <si>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</si>
  <si>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</si>
  <si>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</si>
  <si>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</si>
  <si>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</si>
  <si>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</si>
  <si>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</si>
  <si>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</si>
  <si>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</si>
  <si>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</si>
  <si>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</si>
  <si>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</si>
  <si>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</si>
  <si>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</si>
  <si>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</si>
  <si>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</si>
  <si>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</si>
  <si>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</si>
  <si>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</si>
  <si>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</si>
  <si>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</si>
  <si>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</si>
  <si>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</si>
  <si>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</si>
  <si>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</si>
  <si>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</si>
  <si>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</si>
  <si>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</si>
  <si>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</si>
  <si>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</si>
  <si>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</si>
  <si>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</si>
  <si>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</si>
  <si>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</si>
  <si>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</si>
  <si>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</si>
  <si>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</si>
  <si>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</si>
  <si>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</si>
  <si>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</si>
  <si>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</si>
  <si>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</si>
  <si>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</si>
  <si>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</si>
  <si>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</si>
  <si>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</si>
  <si>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</si>
  <si>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</si>
  <si>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</si>
  <si>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</si>
  <si>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</si>
  <si>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</si>
  <si>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</si>
  <si>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</si>
  <si>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</si>
  <si>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</si>
  <si>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</si>
  <si>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</si>
  <si>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</si>
  <si>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</si>
  <si>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</si>
  <si>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</si>
  <si>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</si>
  <si>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</si>
  <si>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</si>
  <si>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</si>
  <si>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</si>
  <si>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</si>
  <si>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</si>
  <si>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</si>
  <si>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</si>
  <si>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</si>
  <si>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</si>
  <si>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</si>
  <si>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</si>
  <si>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</si>
  <si>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</si>
  <si>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</si>
  <si>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</si>
  <si>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</si>
  <si>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</si>
  <si>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</si>
  <si>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</si>
  <si>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</si>
  <si>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</si>
  <si>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</si>
  <si>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</si>
  <si>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</si>
  <si>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</si>
  <si>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</si>
  <si>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</si>
  <si>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</si>
  <si>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</si>
  <si>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</si>
  <si>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</si>
  <si>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</si>
  <si>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</si>
  <si>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</si>
  <si>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</si>
  <si>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</si>
  <si>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</si>
  <si>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</si>
  <si>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</si>
  <si>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</si>
  <si>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</si>
  <si>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</si>
  <si>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</si>
  <si>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</si>
  <si>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</si>
  <si>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</si>
  <si>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</si>
  <si>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</si>
  <si>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</si>
  <si>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</si>
  <si>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</si>
  <si>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</si>
  <si>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</si>
  <si>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</si>
  <si>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</si>
  <si>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</si>
  <si>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</si>
  <si>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</si>
  <si>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</si>
  <si>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</si>
  <si>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</si>
  <si>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</si>
  <si>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</si>
  <si>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</si>
  <si>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</si>
  <si>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</si>
  <si>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</si>
  <si>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</si>
  <si>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</si>
  <si>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</si>
  <si>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</si>
  <si>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</si>
  <si>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</si>
  <si>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</si>
  <si>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</si>
  <si>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</si>
  <si>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</si>
  <si>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</si>
  <si>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</si>
  <si>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</si>
  <si>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</si>
  <si>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</si>
  <si>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</si>
  <si>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</si>
  <si>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</si>
  <si>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</si>
  <si>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</si>
  <si>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</si>
  <si>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</si>
  <si>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</si>
  <si>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</si>
  <si>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</si>
  <si>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</si>
  <si>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</si>
  <si>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</si>
  <si>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</si>
  <si>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</si>
  <si>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</si>
  <si>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</si>
  <si>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</si>
  <si>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</si>
  <si>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</si>
  <si>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</si>
  <si>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</si>
  <si>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</si>
  <si>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</si>
  <si>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</si>
  <si>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</si>
  <si>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</si>
  <si>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</si>
  <si>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</si>
  <si>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</si>
  <si>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</si>
  <si>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</si>
  <si>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</si>
  <si>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</si>
  <si>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</si>
  <si>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</si>
  <si>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</si>
  <si>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</si>
  <si>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</si>
  <si>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</si>
  <si>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</si>
  <si>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</si>
  <si>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</si>
  <si>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</si>
  <si>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</si>
  <si>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</si>
  <si>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</si>
  <si>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</si>
  <si>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</si>
  <si>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</si>
  <si>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</si>
  <si>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</si>
  <si>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</si>
  <si>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</si>
  <si>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</si>
  <si>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</si>
  <si>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</si>
  <si>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</si>
  <si>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</si>
  <si>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</si>
  <si>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</si>
  <si>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</si>
  <si>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</si>
  <si>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</si>
  <si>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</si>
  <si>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</si>
  <si>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</si>
  <si>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</si>
  <si>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</si>
  <si>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</si>
  <si>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</si>
  <si>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</si>
  <si>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</si>
  <si>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</si>
  <si>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</si>
  <si>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</si>
  <si>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</si>
  <si>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</si>
  <si>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</si>
  <si>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</si>
  <si>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</si>
  <si>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</si>
  <si>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</si>
  <si>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</si>
  <si>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</si>
  <si>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</si>
  <si>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</si>
  <si>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</si>
  <si>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</si>
  <si>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</si>
  <si>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</si>
  <si>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</si>
  <si>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</si>
  <si>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</si>
  <si>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</si>
  <si>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</si>
  <si>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</si>
  <si>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</si>
  <si>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</si>
  <si>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</si>
  <si>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</si>
  <si>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</si>
  <si>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</si>
  <si>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</si>
  <si>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</si>
  <si>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</si>
  <si>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</si>
  <si>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</si>
  <si>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</si>
  <si>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</si>
  <si>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</si>
  <si>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</si>
  <si>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</si>
  <si>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</si>
  <si>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</si>
  <si>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</si>
  <si>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</si>
  <si>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</si>
  <si>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</si>
  <si>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</si>
  <si>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</si>
  <si>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</si>
  <si>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</si>
  <si>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</si>
  <si>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</si>
  <si>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</si>
  <si>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</si>
  <si>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</si>
  <si>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</si>
  <si>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</si>
  <si>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</si>
  <si>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</si>
  <si>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</si>
  <si>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</si>
  <si>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</si>
  <si>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</si>
  <si>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</si>
  <si>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</si>
  <si>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</si>
  <si>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</si>
  <si>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</si>
  <si>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</si>
  <si>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</si>
  <si>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</si>
  <si>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</si>
  <si>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</si>
  <si>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</si>
  <si>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</si>
  <si>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</si>
  <si>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</si>
  <si>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</si>
  <si>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</si>
  <si>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</si>
  <si>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</si>
  <si>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</si>
  <si>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</si>
  <si>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</si>
  <si>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</si>
  <si>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</si>
  <si>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</si>
  <si>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</si>
  <si>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</si>
  <si>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</si>
  <si>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</si>
  <si>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</si>
  <si>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</si>
  <si>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</si>
  <si>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</si>
  <si>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</si>
  <si>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</si>
  <si>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</si>
  <si>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</si>
  <si>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</si>
  <si>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</si>
  <si>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</si>
  <si>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</si>
  <si>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</si>
  <si>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</si>
  <si>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</si>
  <si>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</si>
  <si>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</si>
  <si>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</si>
  <si>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</si>
  <si>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</si>
  <si>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</si>
  <si>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</si>
  <si>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</si>
  <si>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</si>
  <si>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</si>
  <si>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</si>
  <si>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</si>
  <si>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</si>
  <si>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</si>
  <si>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</si>
  <si>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</si>
  <si>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</si>
  <si>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</si>
  <si>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</si>
  <si>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</si>
  <si>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</si>
  <si>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</si>
  <si>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</si>
  <si>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</si>
  <si>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</si>
  <si>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</si>
  <si>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</si>
  <si>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</si>
  <si>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</si>
  <si>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</si>
  <si>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</si>
  <si>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</si>
  <si>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</si>
  <si>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</si>
  <si>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</si>
  <si>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</si>
  <si>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</si>
  <si>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</si>
  <si>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</si>
  <si>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</si>
  <si>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</si>
  <si>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</si>
  <si>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</si>
  <si>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</si>
  <si>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</si>
  <si>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</si>
  <si>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</si>
  <si>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</si>
  <si>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</si>
  <si>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</si>
  <si>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</si>
  <si>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</si>
  <si>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</si>
  <si>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</si>
  <si>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</si>
  <si>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</si>
  <si>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</si>
  <si>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</si>
  <si>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</si>
  <si>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</si>
  <si>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</si>
  <si>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</si>
  <si>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</si>
  <si>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</si>
  <si>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</si>
  <si>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</si>
  <si>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</si>
  <si>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</si>
  <si>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</si>
  <si>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</si>
  <si>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</si>
  <si>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</si>
  <si>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</si>
  <si>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</si>
  <si>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</si>
  <si>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</si>
  <si>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</si>
  <si>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</si>
  <si>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</si>
  <si>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</si>
  <si>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</si>
  <si>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</si>
  <si>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</si>
  <si>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</si>
  <si>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</si>
  <si>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</si>
  <si>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</si>
  <si>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</si>
  <si>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</si>
  <si>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</si>
  <si>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</si>
  <si>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</si>
  <si>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</si>
  <si>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</si>
  <si>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</si>
  <si>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</si>
  <si>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</si>
  <si>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</si>
  <si>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</si>
  <si>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</si>
  <si>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</si>
  <si>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</si>
  <si>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</si>
  <si>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</si>
  <si>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</si>
  <si>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</si>
  <si>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</si>
  <si>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</si>
  <si>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</si>
  <si>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</si>
  <si>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</si>
  <si>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</si>
  <si>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</si>
  <si>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</si>
  <si>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</si>
  <si>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</si>
  <si>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</si>
  <si>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</si>
  <si>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</si>
  <si>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</si>
  <si>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</si>
  <si>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</si>
  <si>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</si>
  <si>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</si>
  <si>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</si>
  <si>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</si>
  <si>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</si>
  <si>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</si>
  <si>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</si>
  <si>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</si>
  <si>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</si>
  <si>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</si>
  <si>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</si>
  <si>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</si>
  <si>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</si>
  <si>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</si>
  <si>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</si>
  <si>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</si>
  <si>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</si>
  <si>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</si>
  <si>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</si>
  <si>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</si>
  <si>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</si>
  <si>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</si>
  <si>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</si>
  <si>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</si>
  <si>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</si>
  <si>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</si>
  <si>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</si>
  <si>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</si>
  <si>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</si>
  <si>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</si>
  <si>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</si>
  <si>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</si>
  <si>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</si>
  <si>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</si>
  <si>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</si>
  <si>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</si>
  <si>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</si>
  <si>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</si>
  <si>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</si>
  <si>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</si>
  <si>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</si>
  <si>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</si>
  <si>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</si>
  <si>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</si>
  <si>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</si>
  <si>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</si>
  <si>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</si>
  <si>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</si>
  <si>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</si>
  <si>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</si>
  <si>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</si>
  <si>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</si>
  <si>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</si>
  <si>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</si>
  <si>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</si>
  <si>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</si>
  <si>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</si>
  <si>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</si>
  <si>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</si>
  <si>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</si>
  <si>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</si>
  <si>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</si>
  <si>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</si>
  <si>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</si>
  <si>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</si>
  <si>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</si>
  <si>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</si>
  <si>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</si>
  <si>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</si>
  <si>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</si>
  <si>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</si>
  <si>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</si>
  <si>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</si>
  <si>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</si>
  <si>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</si>
  <si>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</si>
  <si>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</si>
  <si>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</si>
  <si>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</si>
  <si>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</si>
  <si>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</si>
  <si>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</si>
  <si>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</si>
  <si>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</si>
  <si>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</si>
  <si>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</si>
  <si>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</si>
  <si>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</si>
  <si>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</si>
  <si>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</si>
  <si>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</si>
  <si>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</si>
  <si>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</si>
  <si>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</si>
  <si>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</si>
  <si>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</si>
  <si>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</si>
  <si>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</si>
  <si>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</si>
  <si>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</si>
  <si>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</si>
  <si>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</si>
  <si>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</si>
  <si>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</si>
  <si>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</si>
  <si>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</si>
  <si>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</si>
  <si>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</si>
  <si>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</si>
  <si>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</si>
  <si>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</si>
  <si>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</si>
  <si>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</si>
  <si>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</si>
  <si>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</si>
  <si>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</si>
  <si>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</si>
  <si>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</si>
  <si>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</si>
  <si>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</si>
  <si>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</si>
  <si>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</si>
  <si>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</si>
  <si>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</si>
  <si>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</si>
  <si>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</si>
  <si>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</si>
  <si>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</si>
  <si>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</si>
  <si>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</si>
  <si>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</si>
  <si>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</si>
  <si>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</si>
  <si>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</si>
  <si>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</si>
  <si>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</si>
  <si>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</si>
  <si>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</si>
  <si>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</si>
  <si>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</si>
  <si>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</si>
  <si>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</si>
  <si>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</si>
  <si>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</si>
  <si>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</si>
  <si>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</si>
  <si>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</si>
  <si>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</si>
  <si>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</si>
  <si>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</si>
  <si>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</si>
  <si>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</si>
  <si>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</si>
  <si>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</si>
  <si>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</si>
  <si>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</si>
  <si>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</si>
  <si>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</si>
  <si>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</si>
  <si>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</si>
  <si>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</si>
  <si>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</si>
  <si>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</si>
  <si>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</si>
  <si>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</si>
  <si>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</si>
  <si>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</si>
  <si>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</si>
  <si>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</si>
  <si>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</si>
  <si>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</si>
  <si>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</si>
  <si>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</si>
  <si>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</si>
  <si>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</si>
  <si>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</si>
  <si>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</si>
  <si>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</si>
  <si>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</si>
  <si>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</si>
  <si>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</si>
  <si>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</si>
  <si>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</si>
  <si>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</si>
  <si>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</si>
  <si>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</si>
  <si>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</si>
  <si>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</si>
  <si>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</si>
  <si>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</si>
  <si>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</si>
  <si>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</si>
  <si>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</si>
  <si>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</si>
  <si>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</si>
  <si>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</si>
  <si>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</si>
  <si>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</si>
  <si>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</si>
  <si>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</si>
  <si>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</si>
  <si>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</si>
  <si>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</si>
  <si>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</si>
  <si>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</si>
  <si>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</si>
  <si>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</si>
  <si>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</si>
  <si>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</si>
  <si>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</si>
  <si>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</si>
  <si>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</si>
  <si>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</si>
  <si>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</si>
  <si>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</si>
  <si>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</si>
  <si>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</si>
  <si>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</si>
  <si>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</si>
  <si>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</si>
  <si>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</si>
  <si>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</si>
  <si>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</si>
  <si>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</si>
  <si>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</si>
  <si>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</si>
  <si>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</si>
  <si>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</si>
  <si>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</si>
  <si>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</si>
  <si>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</si>
  <si>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</si>
  <si>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</si>
  <si>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</si>
  <si>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</si>
  <si>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</si>
  <si>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</si>
  <si>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</si>
  <si>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</si>
  <si>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</si>
  <si>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</si>
  <si>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</si>
  <si>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</si>
  <si>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</si>
  <si>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</si>
  <si>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</si>
  <si>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</si>
  <si>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</si>
  <si>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</si>
  <si>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</si>
  <si>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</si>
  <si>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</si>
  <si>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</si>
  <si>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</si>
  <si>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</si>
  <si>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</si>
  <si>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</si>
  <si>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</si>
  <si>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</si>
  <si>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</si>
  <si>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</si>
  <si>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</si>
  <si>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</si>
  <si>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</si>
  <si>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</si>
  <si>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</si>
  <si>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</si>
  <si>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</si>
  <si>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</si>
  <si>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</si>
  <si>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</si>
  <si>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</si>
  <si>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</si>
  <si>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</si>
  <si>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</si>
  <si>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</si>
  <si>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</si>
  <si>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</si>
  <si>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</si>
  <si>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</si>
  <si>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</si>
  <si>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</si>
  <si>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</si>
  <si>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</si>
  <si>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</si>
  <si>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</si>
  <si>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</si>
  <si>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</si>
  <si>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</si>
  <si>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</si>
  <si>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</si>
  <si>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</si>
  <si>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</si>
  <si>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</si>
  <si>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</si>
  <si>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</si>
  <si>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</si>
  <si>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</si>
  <si>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</si>
  <si>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</si>
  <si>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</si>
  <si>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</si>
  <si>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</si>
  <si>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</si>
  <si>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</si>
  <si>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</si>
  <si>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</si>
  <si>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</si>
  <si>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</si>
  <si>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</si>
  <si>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</si>
  <si>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</si>
  <si>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</si>
  <si>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</si>
  <si>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</si>
  <si>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</si>
  <si>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</si>
  <si>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</si>
  <si>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</si>
  <si>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</si>
  <si>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</si>
  <si>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</si>
  <si>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</si>
  <si>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</si>
  <si>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</si>
  <si>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</si>
  <si>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</si>
  <si>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</si>
  <si>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</si>
  <si>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</si>
  <si>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</si>
  <si>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</si>
  <si>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</si>
  <si>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</si>
  <si>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</si>
  <si>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</si>
  <si>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</si>
  <si>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</si>
  <si>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</si>
  <si>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</si>
  <si>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</si>
  <si>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</si>
  <si>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</si>
  <si>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</si>
  <si>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</si>
  <si>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</si>
  <si>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</si>
  <si>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</si>
  <si>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</si>
  <si>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</si>
  <si>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</si>
  <si>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</si>
  <si>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</si>
  <si>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</si>
  <si>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</si>
  <si>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</si>
  <si>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</si>
  <si>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</si>
  <si>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</si>
  <si>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</si>
  <si>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</si>
  <si>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</si>
  <si>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</si>
  <si>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</si>
  <si>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</si>
  <si>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</si>
  <si>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</si>
  <si>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</si>
  <si>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</si>
  <si>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</si>
  <si>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</si>
  <si>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</si>
  <si>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</si>
  <si>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</si>
  <si>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</si>
  <si>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</si>
  <si>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</si>
  <si>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</si>
  <si>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</si>
  <si>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</si>
  <si>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</si>
  <si>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</si>
  <si>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</si>
  <si>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</si>
  <si>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</si>
  <si>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</si>
  <si>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</si>
  <si>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</si>
  <si>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</si>
  <si>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</si>
  <si>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</si>
  <si>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</si>
  <si>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</si>
  <si>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</si>
  <si>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</si>
  <si>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</si>
  <si>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</si>
  <si>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</si>
  <si>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</si>
  <si>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</si>
  <si>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</si>
  <si>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</si>
  <si>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</si>
  <si>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</si>
  <si>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</si>
  <si>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</si>
  <si>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</si>
  <si>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</si>
  <si>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</si>
  <si>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</si>
  <si>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</si>
  <si>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</si>
  <si>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</si>
  <si>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</si>
  <si>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</si>
  <si>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</si>
  <si>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</si>
  <si>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</si>
  <si>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</si>
  <si>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</si>
  <si>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</si>
  <si>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</si>
  <si>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</si>
  <si>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</si>
  <si>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</si>
  <si>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</si>
  <si>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</si>
  <si>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</si>
  <si>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</si>
  <si>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</si>
  <si>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</si>
  <si>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</si>
  <si>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</si>
  <si>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</si>
  <si>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</si>
  <si>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</si>
  <si>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</si>
  <si>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</si>
  <si>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</si>
  <si>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</si>
  <si>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</si>
  <si>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</si>
  <si>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</si>
  <si>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</si>
  <si>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</si>
  <si>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</si>
  <si>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</si>
  <si>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</si>
  <si>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</si>
  <si>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</si>
  <si>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</si>
  <si>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</si>
  <si>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</si>
  <si>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</si>
  <si>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</si>
  <si>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</si>
  <si>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</si>
  <si>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</si>
  <si>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</si>
  <si>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</si>
  <si>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</si>
  <si>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</si>
  <si>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</si>
  <si>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</si>
  <si>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</si>
  <si>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</si>
  <si>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</si>
  <si>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</si>
  <si>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</si>
  <si>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</si>
  <si>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</si>
  <si>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</si>
  <si>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</si>
  <si>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</si>
  <si>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</si>
  <si>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</si>
  <si>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</si>
  <si>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</si>
  <si>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</si>
  <si>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</si>
  <si>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</si>
  <si>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</si>
  <si>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</si>
  <si>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</si>
  <si>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</si>
  <si>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</si>
  <si>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</si>
  <si>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</si>
  <si>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</si>
  <si>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</si>
  <si>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</si>
  <si>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</si>
  <si>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</si>
  <si>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</si>
  <si>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</si>
  <si>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</si>
  <si>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</si>
  <si>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</si>
  <si>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</si>
  <si>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</si>
  <si>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</si>
  <si>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</si>
  <si>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</si>
  <si>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</si>
  <si>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</si>
  <si>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</si>
  <si>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</si>
  <si>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</si>
  <si>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</si>
  <si>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</si>
  <si>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</si>
  <si>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</si>
  <si>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</si>
  <si>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</si>
  <si>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</si>
  <si>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</si>
  <si>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</si>
  <si>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</si>
  <si>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</si>
  <si>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</si>
  <si>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</si>
  <si>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</si>
  <si>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</si>
  <si>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</si>
  <si>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</si>
  <si>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</si>
  <si>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</si>
  <si>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</si>
  <si>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</si>
  <si>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</si>
  <si>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</si>
  <si>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</si>
  <si>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</si>
  <si>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</si>
  <si>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</si>
  <si>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</si>
  <si>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</si>
  <si>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</si>
  <si>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</si>
  <si>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</si>
  <si>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</si>
  <si>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</si>
  <si>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</si>
  <si>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</si>
  <si>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</si>
  <si>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</si>
  <si>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</si>
  <si>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</si>
  <si>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</si>
  <si>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</si>
  <si>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</si>
  <si>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</si>
  <si>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</si>
  <si>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</si>
  <si>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</si>
  <si>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</si>
  <si>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</si>
  <si>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</si>
  <si>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</si>
  <si>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</si>
  <si>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</si>
  <si>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</si>
  <si>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</si>
  <si>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</si>
  <si>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</si>
  <si>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</si>
  <si>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</si>
  <si>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</si>
  <si>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</si>
  <si>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</si>
  <si>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</si>
  <si>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</si>
  <si>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</si>
  <si>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</si>
  <si>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</si>
  <si>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</si>
  <si>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</si>
  <si>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</si>
  <si>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</si>
  <si>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</si>
  <si>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</si>
  <si>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</si>
  <si>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</si>
  <si>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</si>
  <si>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</si>
  <si>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</si>
  <si>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</si>
  <si>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</si>
  <si>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</si>
  <si>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</si>
  <si>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</si>
  <si>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</si>
  <si>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</si>
  <si>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</si>
  <si>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</si>
  <si>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</si>
  <si>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</si>
  <si>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</si>
  <si>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</si>
  <si>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</si>
  <si>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</si>
  <si>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</si>
  <si>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</si>
  <si>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</si>
  <si>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</si>
  <si>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</si>
  <si>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</si>
  <si>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</si>
  <si>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</si>
  <si>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</si>
  <si>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</si>
  <si>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</si>
  <si>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</si>
  <si>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</si>
  <si>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</si>
  <si>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</si>
  <si>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</si>
  <si>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</si>
  <si>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</si>
  <si>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</si>
  <si>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</si>
  <si>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</si>
  <si>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</si>
  <si>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</si>
  <si>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</si>
  <si>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</si>
  <si>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</si>
  <si>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</si>
  <si>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</si>
  <si>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</si>
  <si>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</si>
  <si>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</si>
  <si>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</si>
  <si>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</si>
  <si>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</si>
  <si>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</si>
  <si>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</si>
  <si>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</si>
  <si>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</si>
  <si>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</si>
  <si>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</si>
  <si>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</si>
  <si>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</si>
  <si>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</si>
  <si>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</si>
  <si>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</si>
  <si>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</si>
  <si>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</si>
  <si>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</si>
  <si>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</si>
  <si>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</si>
  <si>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</si>
  <si>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</si>
  <si>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</si>
  <si>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</si>
  <si>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</si>
  <si>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</si>
  <si>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</si>
  <si>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</si>
  <si>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</si>
  <si>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</si>
  <si>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</si>
  <si>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</si>
  <si>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</si>
  <si>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</si>
  <si>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</si>
  <si>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</si>
  <si>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</si>
  <si>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</si>
  <si>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</si>
  <si>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</si>
  <si>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</si>
  <si>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</si>
  <si>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</si>
  <si>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</si>
  <si>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</si>
  <si>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</si>
  <si>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</si>
  <si>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</si>
  <si>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</si>
  <si>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</si>
  <si>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</si>
  <si>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</si>
  <si>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</si>
  <si>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</si>
  <si>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</si>
  <si>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</si>
  <si>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</si>
  <si>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</si>
  <si>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</si>
  <si>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</si>
  <si>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</si>
  <si>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</si>
  <si>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</si>
  <si>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</si>
  <si>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</si>
  <si>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</si>
  <si>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</si>
  <si>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</si>
  <si>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</si>
  <si>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</si>
  <si>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</si>
  <si>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</si>
  <si>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</si>
  <si>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</si>
  <si>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</si>
  <si>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</si>
  <si>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</si>
  <si>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</si>
  <si>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</si>
  <si>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</si>
  <si>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</si>
  <si>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</si>
  <si>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</si>
  <si>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</si>
  <si>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</si>
  <si>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</si>
  <si>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</si>
  <si>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</si>
  <si>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</si>
  <si>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</si>
  <si>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</si>
  <si>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</si>
  <si>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</si>
  <si>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</si>
  <si>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</si>
  <si>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</si>
  <si>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</si>
  <si>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</si>
  <si>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</si>
  <si>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</si>
  <si>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</si>
  <si>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</si>
  <si>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</si>
  <si>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</si>
  <si>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</si>
  <si>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</si>
  <si>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</si>
  <si>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</si>
  <si>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</si>
  <si>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</si>
  <si>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</si>
  <si>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</si>
  <si>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</si>
  <si>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</si>
  <si>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</si>
  <si>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</si>
  <si>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</si>
  <si>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</si>
  <si>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</si>
  <si>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</si>
  <si>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</si>
  <si>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</si>
  <si>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</si>
  <si>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</si>
  <si>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</si>
  <si>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</si>
  <si>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</si>
  <si>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</si>
  <si>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</si>
  <si>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</si>
  <si>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</si>
  <si>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</si>
  <si>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</si>
  <si>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</si>
  <si>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</si>
  <si>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</si>
  <si>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</si>
  <si>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</si>
  <si>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</si>
  <si>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</si>
  <si>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</si>
  <si>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</si>
  <si>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</si>
  <si>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</si>
  <si>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</si>
  <si>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</si>
  <si>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</si>
  <si>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</si>
  <si>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</si>
  <si>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</si>
  <si>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</si>
  <si>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</si>
  <si>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</si>
  <si>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</si>
  <si>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</si>
  <si>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</si>
  <si>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</si>
  <si>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</si>
  <si>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</si>
  <si>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</si>
  <si>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</si>
  <si>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</si>
  <si>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</si>
  <si>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</si>
  <si>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</si>
  <si>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</si>
  <si>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</si>
  <si>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</si>
  <si>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</si>
  <si>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</si>
  <si>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</si>
  <si>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</si>
  <si>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</si>
  <si>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</si>
  <si>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</si>
  <si>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</si>
  <si>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</si>
  <si>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</si>
  <si>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</si>
  <si>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</si>
  <si>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</si>
  <si>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</si>
  <si>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</si>
  <si>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</si>
  <si>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</si>
  <si>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</si>
  <si>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</si>
  <si>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</si>
  <si>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</si>
  <si>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</si>
  <si>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</si>
  <si>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</si>
  <si>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</si>
  <si>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</si>
  <si>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</si>
  <si>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</si>
  <si>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</si>
  <si>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</si>
  <si>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</si>
  <si>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</si>
  <si>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</si>
  <si>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</si>
  <si>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</si>
  <si>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</si>
  <si>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</si>
  <si>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</si>
  <si>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</si>
  <si>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</si>
  <si>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</si>
  <si>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</si>
  <si>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</si>
  <si>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</si>
  <si>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</si>
  <si>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</si>
  <si>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</si>
  <si>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</si>
  <si>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</si>
  <si>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</si>
  <si>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</si>
  <si>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</si>
  <si>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</si>
  <si>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</si>
  <si>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</si>
  <si>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</si>
  <si>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</si>
  <si>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</si>
  <si>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</si>
  <si>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</si>
  <si>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</si>
  <si>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</si>
  <si>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</si>
  <si>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</si>
  <si>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</si>
  <si>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</si>
  <si>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</si>
  <si>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</si>
  <si>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</si>
  <si>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</si>
  <si>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</si>
  <si>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</si>
  <si>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</si>
  <si>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</si>
  <si>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</si>
  <si>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</si>
  <si>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</si>
  <si>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</si>
  <si>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</si>
  <si>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</si>
  <si>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</si>
  <si>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</si>
  <si>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</si>
  <si>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</si>
  <si>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</si>
  <si>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</si>
  <si>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</si>
  <si>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</si>
  <si>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</si>
  <si>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</si>
  <si>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</si>
  <si>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</si>
  <si>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</si>
  <si>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</si>
  <si>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</si>
  <si>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</si>
  <si>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</si>
  <si>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</si>
  <si>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</si>
  <si>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</si>
  <si>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</si>
  <si>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</si>
  <si>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</si>
  <si>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</si>
  <si>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</si>
  <si>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</si>
  <si>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</si>
  <si>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</si>
  <si>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</si>
  <si>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</si>
  <si>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</si>
  <si>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</si>
  <si>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</si>
  <si>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</si>
  <si>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</si>
  <si>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</si>
  <si>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</si>
  <si>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</si>
  <si>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</si>
  <si>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</si>
  <si>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</si>
  <si>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</si>
  <si>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</si>
  <si>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</si>
  <si>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</si>
  <si>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</si>
  <si>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</si>
  <si>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</si>
  <si>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</si>
  <si>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</si>
  <si>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</si>
  <si>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</si>
  <si>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</si>
  <si>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</si>
  <si>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</si>
  <si>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</si>
  <si>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</si>
  <si>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</si>
  <si>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</si>
  <si>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</si>
  <si>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</si>
  <si>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</si>
  <si>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</si>
  <si>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</si>
  <si>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</si>
  <si>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</si>
  <si>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</si>
  <si>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</si>
  <si>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</si>
  <si>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</si>
  <si>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</si>
  <si>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</si>
  <si>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</si>
  <si>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</si>
  <si>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</si>
  <si>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</si>
  <si>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</si>
  <si>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</si>
  <si>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</si>
  <si>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</si>
  <si>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</si>
  <si>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</si>
  <si>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</si>
  <si>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</si>
  <si>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</si>
  <si>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</si>
  <si>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</si>
  <si>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</si>
  <si>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</si>
  <si>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</si>
  <si>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</si>
  <si>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</si>
  <si>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</si>
  <si>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</si>
  <si>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</si>
  <si>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</si>
  <si>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</si>
  <si>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</si>
  <si>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</si>
  <si>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</si>
  <si>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</si>
  <si>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</si>
  <si>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</si>
  <si>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</si>
  <si>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</si>
  <si>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</si>
  <si>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</si>
  <si>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</si>
  <si>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</si>
  <si>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</si>
  <si>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</si>
  <si>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</si>
  <si>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</si>
  <si>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</si>
  <si>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</si>
  <si>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</si>
  <si>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</si>
  <si>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</si>
  <si>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</si>
  <si>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</si>
  <si>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</si>
  <si>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</si>
  <si>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</si>
  <si>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</si>
  <si>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</si>
  <si>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</si>
  <si>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</si>
  <si>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</si>
  <si>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</si>
  <si>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</si>
  <si>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</si>
  <si>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</si>
  <si>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</si>
  <si>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</si>
  <si>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</si>
  <si>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</si>
  <si>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</si>
  <si>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</si>
  <si>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</si>
  <si>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</si>
  <si>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</si>
  <si>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</si>
  <si>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</si>
  <si>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</si>
  <si>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</si>
  <si>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</si>
  <si>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</si>
  <si>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</si>
  <si>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</si>
  <si>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</si>
  <si>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</si>
  <si>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</si>
  <si>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</si>
  <si>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</si>
  <si>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</si>
  <si>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</si>
  <si>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</si>
  <si>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</si>
  <si>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</si>
  <si>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</si>
  <si>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</si>
  <si>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</si>
  <si>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</si>
  <si>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</si>
  <si>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</si>
  <si>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</si>
  <si>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</si>
  <si>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</si>
  <si>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</si>
  <si>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</si>
  <si>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</si>
  <si>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</si>
  <si>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</si>
  <si>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</si>
  <si>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</si>
  <si>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</si>
  <si>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</si>
  <si>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</si>
  <si>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</si>
  <si>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</si>
  <si>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</si>
  <si>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</si>
  <si>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</si>
  <si>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</si>
  <si>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</si>
  <si>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</si>
  <si>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</si>
  <si>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</si>
  <si>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</si>
  <si>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</si>
  <si>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</si>
  <si>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</si>
  <si>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</si>
  <si>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</si>
  <si>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</si>
  <si>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</si>
  <si>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</si>
  <si>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</si>
  <si>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</si>
  <si>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</si>
  <si>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</si>
  <si>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</si>
  <si>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</si>
  <si>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</si>
  <si>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</si>
  <si>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</si>
  <si>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</si>
  <si>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</si>
  <si>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</si>
  <si>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</si>
  <si>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</si>
  <si>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</si>
  <si>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</si>
  <si>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</si>
  <si>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</si>
  <si>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</si>
  <si>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</si>
  <si>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</si>
  <si>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</si>
  <si>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</si>
  <si>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</si>
  <si>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</si>
  <si>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</si>
  <si>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</si>
  <si>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</si>
  <si>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</si>
  <si>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</si>
  <si>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</si>
  <si>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</si>
  <si>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</si>
  <si>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</si>
  <si>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</si>
  <si>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</si>
  <si>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</si>
  <si>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</si>
  <si>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</si>
  <si>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</si>
  <si>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</si>
  <si>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</si>
  <si>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</si>
  <si>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</si>
  <si>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</si>
  <si>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</si>
  <si>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</si>
  <si>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</si>
  <si>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</si>
  <si>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</si>
  <si>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</si>
  <si>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</si>
  <si>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</si>
  <si>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</si>
  <si>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</si>
  <si>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</si>
  <si>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</si>
  <si>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</si>
  <si>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</si>
  <si>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</si>
  <si>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</si>
  <si>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</si>
  <si>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</si>
  <si>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</si>
  <si>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</si>
  <si>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</si>
  <si>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</si>
  <si>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</si>
  <si>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</si>
  <si>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</si>
  <si>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</si>
  <si>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</si>
  <si>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</si>
  <si>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</si>
  <si>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</si>
  <si>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</si>
  <si>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</si>
  <si>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</si>
  <si>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</si>
  <si>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</si>
  <si>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</si>
  <si>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</si>
  <si>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</si>
  <si>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</si>
  <si>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</si>
  <si>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</si>
  <si>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</si>
  <si>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</si>
  <si>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</si>
  <si>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</si>
  <si>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</si>
  <si>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</si>
  <si>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</si>
  <si>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</si>
  <si>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</si>
  <si>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</si>
  <si>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</si>
  <si>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</si>
  <si>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</si>
  <si>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</si>
  <si>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</si>
  <si>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</si>
  <si>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</si>
  <si>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</si>
  <si>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</si>
  <si>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</si>
  <si>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</si>
  <si>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</si>
  <si>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</si>
  <si>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</si>
  <si>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</si>
  <si>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</si>
  <si>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</si>
  <si>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</si>
  <si>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</si>
  <si>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</si>
  <si>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</si>
  <si>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</si>
  <si>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</si>
  <si>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</si>
  <si>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</si>
  <si>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</si>
  <si>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</si>
  <si>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</si>
  <si>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</si>
  <si>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</si>
  <si>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</si>
  <si>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</si>
  <si>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</si>
  <si>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</si>
  <si>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</si>
  <si>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</si>
  <si>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</si>
  <si>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</si>
  <si>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</si>
  <si>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</si>
  <si>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</si>
  <si>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</si>
  <si>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</si>
  <si>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</si>
  <si>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</si>
  <si>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</si>
  <si>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</si>
  <si>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</si>
  <si>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</si>
  <si>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</si>
  <si>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</si>
  <si>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</si>
  <si>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</si>
  <si>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</si>
  <si>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</si>
  <si>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</si>
  <si>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</si>
  <si>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</si>
  <si>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</si>
  <si>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</si>
  <si>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</si>
  <si>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</si>
  <si>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</si>
  <si>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</si>
  <si>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</si>
  <si>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</si>
  <si>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</si>
  <si>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</si>
  <si>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</si>
  <si>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</si>
  <si>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</si>
  <si>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</si>
  <si>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</si>
  <si>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</si>
  <si>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</si>
  <si>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</si>
  <si>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</si>
  <si>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</si>
  <si>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</si>
  <si>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</si>
  <si>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</si>
  <si>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</si>
  <si>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</si>
  <si>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</si>
  <si>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</si>
  <si>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</si>
  <si>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</si>
  <si>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</si>
  <si>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</si>
  <si>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</si>
  <si>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</si>
  <si>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</si>
  <si>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</si>
  <si>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</si>
  <si>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</si>
  <si>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</si>
  <si>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</si>
  <si>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</si>
  <si>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</si>
  <si>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</si>
  <si>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</si>
  <si>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</si>
  <si>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</si>
  <si>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</si>
  <si>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</si>
  <si>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</si>
  <si>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</si>
  <si>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</si>
  <si>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</si>
  <si>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</si>
  <si>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</si>
  <si>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</si>
  <si>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</si>
  <si>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</si>
  <si>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</si>
  <si>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</si>
  <si>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</si>
  <si>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</si>
  <si>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</si>
  <si>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</si>
  <si>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</si>
  <si>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</si>
  <si>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</si>
  <si>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</si>
  <si>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</si>
  <si>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</si>
  <si>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</si>
  <si>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</si>
  <si>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</si>
  <si>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</si>
  <si>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</si>
  <si>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</si>
  <si>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</si>
  <si>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</si>
  <si>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</si>
  <si>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</si>
  <si>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</si>
  <si>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</si>
  <si>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</si>
  <si>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</si>
  <si>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</si>
  <si>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</si>
  <si>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</si>
  <si>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</si>
  <si>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</si>
  <si>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</si>
  <si>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</si>
  <si>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</si>
  <si>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</si>
  <si>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</si>
  <si>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</si>
  <si>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</si>
  <si>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</si>
  <si>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</si>
  <si>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</si>
  <si>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</si>
  <si>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</si>
  <si>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</si>
  <si>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</si>
  <si>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</si>
  <si>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</si>
  <si>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</si>
  <si>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</si>
  <si>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</si>
  <si>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</si>
  <si>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</si>
  <si>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</si>
  <si>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</si>
  <si>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</si>
  <si>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</si>
  <si>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</si>
  <si>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</si>
  <si>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</si>
  <si>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</si>
  <si>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</si>
  <si>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</si>
  <si>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</si>
  <si>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</si>
  <si>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</si>
  <si>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</si>
  <si>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</si>
  <si>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</si>
  <si>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</si>
  <si>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</si>
  <si>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</si>
  <si>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</si>
  <si>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</si>
  <si>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</si>
  <si>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</si>
  <si>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</si>
  <si>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</si>
  <si>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</si>
  <si>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</si>
  <si>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</si>
  <si>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</si>
  <si>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</si>
  <si>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</si>
  <si>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</si>
  <si>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</si>
  <si>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</si>
  <si>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</si>
  <si>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</si>
  <si>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</si>
  <si>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</si>
  <si>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</si>
  <si>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</si>
  <si>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</si>
  <si>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</si>
  <si>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</si>
  <si>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</si>
  <si>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</si>
  <si>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</si>
  <si>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</si>
  <si>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</si>
  <si>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</si>
  <si>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</si>
  <si>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</si>
  <si>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</si>
  <si>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</si>
  <si>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</si>
  <si>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</si>
  <si>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</si>
  <si>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</si>
  <si>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</si>
  <si>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</si>
  <si>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</si>
  <si>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</si>
  <si>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</si>
  <si>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</si>
  <si>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</si>
  <si>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</si>
  <si>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</si>
  <si>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</si>
  <si>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</si>
  <si>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</si>
  <si>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</si>
  <si>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</si>
  <si>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</si>
  <si>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</si>
  <si>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</si>
  <si>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</si>
  <si>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</si>
  <si>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</si>
  <si>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</si>
  <si>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</si>
  <si>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</si>
  <si>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</si>
  <si>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</si>
  <si>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</si>
  <si>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</si>
  <si>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</si>
  <si>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</si>
  <si>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</si>
  <si>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</si>
  <si>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</si>
  <si>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</si>
  <si>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</si>
  <si>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</si>
  <si>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</si>
  <si>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</si>
  <si>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</si>
  <si>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</si>
  <si>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</si>
  <si>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</si>
  <si>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</si>
  <si>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</si>
  <si>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</si>
  <si>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</si>
  <si>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</si>
  <si>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</si>
  <si>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</si>
  <si>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</si>
  <si>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</si>
  <si>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</si>
  <si>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</si>
  <si>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</si>
  <si>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</si>
  <si>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</si>
  <si>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</si>
  <si>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</si>
  <si>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</si>
  <si>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</si>
  <si>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</si>
  <si>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</si>
  <si>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</si>
  <si>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</si>
  <si>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</si>
  <si>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</si>
  <si>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</si>
  <si>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</si>
  <si>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</si>
  <si>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</si>
  <si>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</si>
  <si>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</si>
  <si>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</si>
  <si>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</si>
  <si>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</si>
  <si>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</si>
  <si>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</si>
  <si>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</si>
  <si>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</si>
  <si>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</si>
  <si>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</si>
  <si>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</si>
  <si>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</si>
  <si>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</si>
  <si>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</si>
  <si>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</si>
  <si>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</si>
  <si>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</si>
  <si>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</si>
  <si>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</si>
  <si>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</si>
  <si>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</si>
  <si>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</si>
  <si>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</si>
  <si>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</si>
  <si>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</si>
  <si>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</si>
  <si>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</si>
  <si>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</si>
  <si>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</si>
  <si>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</si>
  <si>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</si>
  <si>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</si>
  <si>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</si>
  <si>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</si>
  <si>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</si>
  <si>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</si>
  <si>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</si>
  <si>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</si>
  <si>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</si>
  <si>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</si>
  <si>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</si>
  <si>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</si>
  <si>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</si>
  <si>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</si>
  <si>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</si>
  <si>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</si>
  <si>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</si>
  <si>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</si>
  <si>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</si>
  <si>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</si>
  <si>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</si>
  <si>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</si>
  <si>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</si>
  <si>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</si>
  <si>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</si>
  <si>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</si>
  <si>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</si>
  <si>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</si>
  <si>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</si>
  <si>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</si>
  <si>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</si>
  <si>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</si>
  <si>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</si>
  <si>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</si>
  <si>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</si>
  <si>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</si>
  <si>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</si>
  <si>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</si>
  <si>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</si>
  <si>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</si>
  <si>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</si>
  <si>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</si>
  <si>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</si>
  <si>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</si>
  <si>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</si>
  <si>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</si>
  <si>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</si>
  <si>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</si>
  <si>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</si>
  <si>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</si>
  <si>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</si>
  <si>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</si>
  <si>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</si>
  <si>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</si>
  <si>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</si>
  <si>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</si>
  <si>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</si>
  <si>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</si>
  <si>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</si>
  <si>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</si>
  <si>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</si>
  <si>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</si>
  <si>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</si>
  <si>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</si>
  <si>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</si>
  <si>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</si>
  <si>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</si>
  <si>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</si>
  <si>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</si>
  <si>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</si>
  <si>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</si>
  <si>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</si>
  <si>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</si>
  <si>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</si>
  <si>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</si>
  <si>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</si>
  <si>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</si>
  <si>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</si>
  <si>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</si>
  <si>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</si>
  <si>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</si>
  <si>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</si>
  <si>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</si>
  <si>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</si>
  <si>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</si>
  <si>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</si>
  <si>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</si>
  <si>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</si>
  <si>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</si>
  <si>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</si>
  <si>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</si>
  <si>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</si>
  <si>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</si>
  <si>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</si>
  <si>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</si>
  <si>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</si>
  <si>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</si>
  <si>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</si>
  <si>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</si>
  <si>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</si>
  <si>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</si>
  <si>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</si>
  <si>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</si>
  <si>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</si>
  <si>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</si>
  <si>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</si>
  <si>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</si>
  <si>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</si>
  <si>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</si>
  <si>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</si>
  <si>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</si>
  <si>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</si>
  <si>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</si>
  <si>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</si>
  <si>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</si>
  <si>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</si>
  <si>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</si>
  <si>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</si>
  <si>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</si>
  <si>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</si>
  <si>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</si>
  <si>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</si>
  <si>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</si>
  <si>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</si>
  <si>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</si>
  <si>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</si>
  <si>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</si>
  <si>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</si>
  <si>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</si>
  <si>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</si>
  <si>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</si>
  <si>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</si>
  <si>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</si>
  <si>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</si>
  <si>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</si>
  <si>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</si>
  <si>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</si>
  <si>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</si>
  <si>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</si>
  <si>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</si>
  <si>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</si>
  <si>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</si>
  <si>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</si>
  <si>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</si>
  <si>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</si>
  <si>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</si>
  <si>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</si>
  <si>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</si>
  <si>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</si>
  <si>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</si>
  <si>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</si>
  <si>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</si>
  <si>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</si>
  <si>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</si>
  <si>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</si>
  <si>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</si>
  <si>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</si>
  <si>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</si>
  <si>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</si>
  <si>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</si>
  <si>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</si>
  <si>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</si>
  <si>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</si>
  <si>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</si>
  <si>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</si>
  <si>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</si>
  <si>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</si>
  <si>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</si>
  <si>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</si>
  <si>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</si>
  <si>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</si>
  <si>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</si>
  <si>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</si>
  <si>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</si>
  <si>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</si>
  <si>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</si>
  <si>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</si>
  <si>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</si>
  <si>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</si>
  <si>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</si>
  <si>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</si>
  <si>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</si>
  <si>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</si>
  <si>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</si>
  <si>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</si>
  <si>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</si>
  <si>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</si>
  <si>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</si>
  <si>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</si>
  <si>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</si>
  <si>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</si>
  <si>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</si>
  <si>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</si>
  <si>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</si>
  <si>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</si>
  <si>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</si>
  <si>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</si>
  <si>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</si>
  <si>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</si>
  <si>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</si>
  <si>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</si>
  <si>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</si>
  <si>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</si>
  <si>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</si>
  <si>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</si>
  <si>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</si>
  <si>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</si>
  <si>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</si>
  <si>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</si>
  <si>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</si>
  <si>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</si>
  <si>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</si>
  <si>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</si>
  <si>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</si>
  <si>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</si>
  <si>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</si>
  <si>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</si>
  <si>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</si>
  <si>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</si>
  <si>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</si>
  <si>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</si>
  <si>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</si>
  <si>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</si>
  <si>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</si>
  <si>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</si>
  <si>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</si>
  <si>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</si>
  <si>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</si>
  <si>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</si>
  <si>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</si>
  <si>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</si>
  <si>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</si>
  <si>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</si>
  <si>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</si>
  <si>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</si>
  <si>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</si>
  <si>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</si>
  <si>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</si>
  <si>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</si>
  <si>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</si>
  <si>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</si>
  <si>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</si>
  <si>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</si>
  <si>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</si>
  <si>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</si>
  <si>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</si>
  <si>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</si>
  <si>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</si>
  <si>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</si>
  <si>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</si>
  <si>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</si>
  <si>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</si>
  <si>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</si>
  <si>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</si>
  <si>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</si>
  <si>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</si>
  <si>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</si>
  <si>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</si>
  <si>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</si>
  <si>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</si>
  <si>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</si>
  <si>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</si>
  <si>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</si>
  <si>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</si>
  <si>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</si>
  <si>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</si>
  <si>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</si>
  <si>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</si>
  <si>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</si>
  <si>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</si>
  <si>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</si>
  <si>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</si>
  <si>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</si>
  <si>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</si>
  <si>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</si>
  <si>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</si>
  <si>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</si>
  <si>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</si>
  <si>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</si>
  <si>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</si>
  <si>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</si>
  <si>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</si>
  <si>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</si>
  <si>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</si>
  <si>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</si>
  <si>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</si>
  <si>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</si>
  <si>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</si>
  <si>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</si>
  <si>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</si>
  <si>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</si>
  <si>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</si>
  <si>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</si>
  <si>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</si>
  <si>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</si>
  <si>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</si>
  <si>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</si>
  <si>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</si>
  <si>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</si>
  <si>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</si>
  <si>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</si>
  <si>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</si>
  <si>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</si>
  <si>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</si>
  <si>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</si>
  <si>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</si>
  <si>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</si>
  <si>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</si>
  <si>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</si>
  <si>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</si>
  <si>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</si>
  <si>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</si>
  <si>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</si>
  <si>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</si>
  <si>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</si>
  <si>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</si>
  <si>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</si>
  <si>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</si>
  <si>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</si>
  <si>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</si>
  <si>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</si>
  <si>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</si>
  <si>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</si>
  <si>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</si>
  <si>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</si>
  <si>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</si>
  <si>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</si>
  <si>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</si>
  <si>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</si>
  <si>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</si>
  <si>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</si>
  <si>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</si>
  <si>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</si>
  <si>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</si>
  <si>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</si>
  <si>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</si>
  <si>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</si>
  <si>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</si>
  <si>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</si>
  <si>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</si>
  <si>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</si>
  <si>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</si>
  <si>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</si>
  <si>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</si>
  <si>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</si>
  <si>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</si>
  <si>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</si>
  <si>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</si>
  <si>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</si>
  <si>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</si>
  <si>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</si>
  <si>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</si>
  <si>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</si>
  <si>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</si>
  <si>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</si>
  <si>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</si>
  <si>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</si>
  <si>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</si>
  <si>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</si>
  <si>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</si>
  <si>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</si>
  <si>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</si>
  <si>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</si>
  <si>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</si>
  <si>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</si>
  <si>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</si>
  <si>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</si>
  <si>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</si>
  <si>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</si>
  <si>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</si>
  <si>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</si>
  <si>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</si>
  <si>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</si>
  <si>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</si>
  <si>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</si>
  <si>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</si>
  <si>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</si>
  <si>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</si>
  <si>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</si>
  <si>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</si>
  <si>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</si>
  <si>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</si>
  <si>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</si>
  <si>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</si>
  <si>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</si>
  <si>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</si>
  <si>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</si>
  <si>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</si>
  <si>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</si>
  <si>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</si>
  <si>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</si>
  <si>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</si>
  <si>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</si>
  <si>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</si>
  <si>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</si>
  <si>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</si>
  <si>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</si>
  <si>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</si>
  <si>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</si>
  <si>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</si>
  <si>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</si>
  <si>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</si>
  <si>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</si>
  <si>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</si>
  <si>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</si>
  <si>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</si>
  <si>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</si>
  <si>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</si>
  <si>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</si>
  <si>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</si>
  <si>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</si>
  <si>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</si>
  <si>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</si>
  <si>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</si>
  <si>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</si>
  <si>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</si>
  <si>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</si>
  <si>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</si>
  <si>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</si>
  <si>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</si>
  <si>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</si>
  <si>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</si>
  <si>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</si>
  <si>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</si>
  <si>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</si>
  <si>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</si>
  <si>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</si>
  <si>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</si>
  <si>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</si>
  <si>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</si>
  <si>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</si>
  <si>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</si>
  <si>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</si>
  <si>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</si>
  <si>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</si>
  <si>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</si>
  <si>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</si>
  <si>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</si>
  <si>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</si>
  <si>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</si>
  <si>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</si>
  <si>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</si>
  <si>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</si>
  <si>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</si>
  <si>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</si>
  <si>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</si>
  <si>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</si>
  <si>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</si>
  <si>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</si>
  <si>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</si>
  <si>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</si>
  <si>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</si>
  <si>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</si>
  <si>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</si>
  <si>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</si>
  <si>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</si>
  <si>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</si>
  <si>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</si>
  <si>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</si>
  <si>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</si>
  <si>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</si>
  <si>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</si>
  <si>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</si>
  <si>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</si>
  <si>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</si>
  <si>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</si>
  <si>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</si>
  <si>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</si>
  <si>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</si>
  <si>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</si>
  <si>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</si>
  <si>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</si>
  <si>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</si>
  <si>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</si>
  <si>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</si>
  <si>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</si>
  <si>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</si>
  <si>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</si>
  <si>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</si>
  <si>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</si>
  <si>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</si>
  <si>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</si>
  <si>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</si>
  <si>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</si>
  <si>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</si>
  <si>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</si>
  <si>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</si>
  <si>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</si>
  <si>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</si>
  <si>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</si>
  <si>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</si>
  <si>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</si>
  <si>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</si>
  <si>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</si>
  <si>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</si>
  <si>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</si>
  <si>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</si>
  <si>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</si>
  <si>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</si>
  <si>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</si>
  <si>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</si>
  <si>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</si>
  <si>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</si>
  <si>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</si>
  <si>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</si>
  <si>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</si>
  <si>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</si>
  <si>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</si>
  <si>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</si>
  <si>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</si>
  <si>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</si>
  <si>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</si>
  <si>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</si>
  <si>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</si>
  <si>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</si>
  <si>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</si>
  <si>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</si>
  <si>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</si>
  <si>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</si>
  <si>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</si>
  <si>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</si>
  <si>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</si>
  <si>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</si>
  <si>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</si>
  <si>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</si>
  <si>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</si>
  <si>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</si>
  <si>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</si>
  <si>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</si>
  <si>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</si>
  <si>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</si>
  <si>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</si>
  <si>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</si>
  <si>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</si>
  <si>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</si>
  <si>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</si>
  <si>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</si>
  <si>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</si>
  <si>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</si>
  <si>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</si>
  <si>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</si>
  <si>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</si>
  <si>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</si>
  <si>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</si>
  <si>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</si>
  <si>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</si>
  <si>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</si>
  <si>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</si>
  <si>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</si>
  <si>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</si>
  <si>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</si>
  <si>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</si>
  <si>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</si>
  <si>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</si>
  <si>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</si>
  <si>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</si>
  <si>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</si>
  <si>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</si>
  <si>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</si>
  <si>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</si>
  <si>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</si>
  <si>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</si>
  <si>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</si>
  <si>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</si>
  <si>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</si>
  <si>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</si>
  <si>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</si>
  <si>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</si>
  <si>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</si>
  <si>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</si>
  <si>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</si>
  <si>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</si>
  <si>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</si>
  <si>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</si>
  <si>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</si>
  <si>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</si>
  <si>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</si>
  <si>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</si>
  <si>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</si>
  <si>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</si>
  <si>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</si>
  <si>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</si>
  <si>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</si>
  <si>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</si>
  <si>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</si>
  <si>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</si>
  <si>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</si>
  <si>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</si>
  <si>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</si>
  <si>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</si>
  <si>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</si>
  <si>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</si>
  <si>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</si>
  <si>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</si>
  <si>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</si>
  <si>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</si>
  <si>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</si>
  <si>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</si>
  <si>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</si>
  <si>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</si>
  <si>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</si>
  <si>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</si>
  <si>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</si>
  <si>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</si>
  <si>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</si>
  <si>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</si>
  <si>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</si>
  <si>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</si>
  <si>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</si>
  <si>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</si>
  <si>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</si>
  <si>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</si>
  <si>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</si>
  <si>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</si>
  <si>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</si>
  <si>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</si>
  <si>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</si>
  <si>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</si>
  <si>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</si>
  <si>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</si>
  <si>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</si>
  <si>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</si>
  <si>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</si>
  <si>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</si>
  <si>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</si>
  <si>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</si>
  <si>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</si>
  <si>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</si>
  <si>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</si>
  <si>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</si>
  <si>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</si>
  <si>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</si>
  <si>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</si>
  <si>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</si>
  <si>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</si>
  <si>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</si>
  <si>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</si>
  <si>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</si>
  <si>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</si>
  <si>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</si>
  <si>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</si>
  <si>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</si>
  <si>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</si>
  <si>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</si>
  <si>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</si>
  <si>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</si>
  <si>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</si>
  <si>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</si>
  <si>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</si>
  <si>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</si>
  <si>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</si>
  <si>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</si>
  <si>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</si>
  <si>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</si>
  <si>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</si>
  <si>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</si>
  <si>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</si>
  <si>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</si>
  <si>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</si>
  <si>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</si>
  <si>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</si>
  <si>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</si>
  <si>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</si>
  <si>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</si>
  <si>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</si>
  <si>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</si>
  <si>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</si>
  <si>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</si>
  <si>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</si>
  <si>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</si>
  <si>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</si>
  <si>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</si>
  <si>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</si>
  <si>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</si>
  <si>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</si>
  <si>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</si>
  <si>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</si>
  <si>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</si>
  <si>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</si>
  <si>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</si>
  <si>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</si>
  <si>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</si>
  <si>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</si>
  <si>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</si>
  <si>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</si>
  <si>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</si>
  <si>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</si>
  <si>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</si>
  <si>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</si>
  <si>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</si>
  <si>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</si>
  <si>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</si>
  <si>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</si>
  <si>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</si>
  <si>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</si>
  <si>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</si>
  <si>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</si>
  <si>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</si>
  <si>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</si>
  <si>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</si>
  <si>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</si>
  <si>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</si>
  <si>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</si>
  <si>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</si>
  <si>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</si>
  <si>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</si>
  <si>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</si>
  <si>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</si>
  <si>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</si>
  <si>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</si>
  <si>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</si>
  <si>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</si>
  <si>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</si>
  <si>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</si>
  <si>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</si>
  <si>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</si>
  <si>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</si>
  <si>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</si>
  <si>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</si>
  <si>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</si>
  <si>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</si>
  <si>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</si>
  <si>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</si>
  <si>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</si>
  <si>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</si>
  <si>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</si>
  <si>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</si>
  <si>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</si>
  <si>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</si>
  <si>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</si>
  <si>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</si>
  <si>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</si>
  <si>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</si>
  <si>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</si>
  <si>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</si>
  <si>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</si>
  <si>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</si>
  <si>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</si>
  <si>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</si>
  <si>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</si>
  <si>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</si>
  <si>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</si>
  <si>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</si>
  <si>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</si>
  <si>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</si>
  <si>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</si>
  <si>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</si>
  <si>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</si>
  <si>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</si>
  <si>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</si>
  <si>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</si>
  <si>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</si>
  <si>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</si>
  <si>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</si>
  <si>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</si>
  <si>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</si>
  <si>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</si>
  <si>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</si>
  <si>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</si>
  <si>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</si>
  <si>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</si>
  <si>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</si>
  <si>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</si>
  <si>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</si>
  <si>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</si>
  <si>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</si>
  <si>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</si>
  <si>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</si>
  <si>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</si>
  <si>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</si>
  <si>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</si>
  <si>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</si>
  <si>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</si>
  <si>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</si>
  <si>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</si>
  <si>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</si>
  <si>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</si>
  <si>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</si>
  <si>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</si>
  <si>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</si>
  <si>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</si>
  <si>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</si>
  <si>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</si>
  <si>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</si>
  <si>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</si>
  <si>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</si>
  <si>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</si>
  <si>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</si>
  <si>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</si>
  <si>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</si>
  <si>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</si>
  <si>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</si>
  <si>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</si>
  <si>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</si>
  <si>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</si>
  <si>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</si>
  <si>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</si>
  <si>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</si>
  <si>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</si>
  <si>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</si>
  <si>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</si>
  <si>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</si>
  <si>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</si>
  <si>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</si>
  <si>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</si>
  <si>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</si>
  <si>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</si>
  <si>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</si>
  <si>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</si>
  <si>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</si>
  <si>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</si>
  <si>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</si>
  <si>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</si>
  <si>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</si>
  <si>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</si>
  <si>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</si>
  <si>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</si>
  <si>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</si>
  <si>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</si>
  <si>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</si>
  <si>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</si>
  <si>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</si>
  <si>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</si>
  <si>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</si>
  <si>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</si>
  <si>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</si>
  <si>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</si>
  <si>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</si>
  <si>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</si>
  <si>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</si>
  <si>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</si>
  <si>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</si>
  <si>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</si>
  <si>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</si>
  <si>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</si>
  <si>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</si>
  <si>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</si>
  <si>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</si>
  <si>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</si>
  <si>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</si>
  <si>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</si>
  <si>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</si>
  <si>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</si>
  <si>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</si>
  <si>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</si>
  <si>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</si>
  <si>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</si>
  <si>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</si>
  <si>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</si>
  <si>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</si>
  <si>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</si>
  <si>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</si>
  <si>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</si>
  <si>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</si>
  <si>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</si>
  <si>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</si>
  <si>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</si>
  <si>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</si>
  <si>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</si>
  <si>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</si>
  <si>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</si>
  <si>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</si>
  <si>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</si>
  <si>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</si>
  <si>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</si>
  <si>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</si>
  <si>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</si>
  <si>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</si>
  <si>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</si>
  <si>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</si>
  <si>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</si>
  <si>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</si>
  <si>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</si>
  <si>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</si>
  <si>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</si>
  <si>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</si>
  <si>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</si>
  <si>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</si>
  <si>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</si>
  <si>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</si>
  <si>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</si>
  <si>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</si>
  <si>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</si>
  <si>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</si>
  <si>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</si>
  <si>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</si>
  <si>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</si>
  <si>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</si>
  <si>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</si>
  <si>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</si>
  <si>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</si>
  <si>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</si>
  <si>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</si>
  <si>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</si>
  <si>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</si>
  <si>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</si>
  <si>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</si>
  <si>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</si>
  <si>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</si>
  <si>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</si>
  <si>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</si>
  <si>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</si>
  <si>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</si>
  <si>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</si>
  <si>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</si>
  <si>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</si>
  <si>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</si>
  <si>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</si>
  <si>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</si>
  <si>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</si>
  <si>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</si>
  <si>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</si>
  <si>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</si>
  <si>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</si>
  <si>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</si>
  <si>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</si>
  <si>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</si>
  <si>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</si>
  <si>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</si>
  <si>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</si>
  <si>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</si>
  <si>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</si>
  <si>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</si>
  <si>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</si>
  <si>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</si>
  <si>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</si>
  <si>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</si>
  <si>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</si>
  <si>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</si>
  <si>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</si>
  <si>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</si>
  <si>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</si>
  <si>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</si>
  <si>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</si>
  <si>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</si>
  <si>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</si>
  <si>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</si>
  <si>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</si>
  <si>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</si>
  <si>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</si>
  <si>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</si>
  <si>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</si>
  <si>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</si>
  <si>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</si>
  <si>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</si>
  <si>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</si>
  <si>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</si>
  <si>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</si>
  <si>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</si>
  <si>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</si>
  <si>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</si>
  <si>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</si>
  <si>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</si>
  <si>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</si>
  <si>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</si>
  <si>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</si>
  <si>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</si>
  <si>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</si>
  <si>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</si>
  <si>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</si>
  <si>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</si>
  <si>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</si>
  <si>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</si>
  <si>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</si>
  <si>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</si>
  <si>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</si>
  <si>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</si>
  <si>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</si>
  <si>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</si>
  <si>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</si>
  <si>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</si>
  <si>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</si>
  <si>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</si>
  <si>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</si>
  <si>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</si>
  <si>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</si>
  <si>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</si>
  <si>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</si>
  <si>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</si>
  <si>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</si>
  <si>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</si>
  <si>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</si>
  <si>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</si>
  <si>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</si>
  <si>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</si>
  <si>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</si>
  <si>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</si>
  <si>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</si>
  <si>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</si>
  <si>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</si>
  <si>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</si>
  <si>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</si>
  <si>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</si>
  <si>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</si>
  <si>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</si>
  <si>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</si>
  <si>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</si>
  <si>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</si>
  <si>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</si>
  <si>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</si>
  <si>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</si>
  <si>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</si>
  <si>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</si>
  <si>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</si>
  <si>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</si>
  <si>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</si>
  <si>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</si>
  <si>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</si>
  <si>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</si>
  <si>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</si>
  <si>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</si>
  <si>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</si>
  <si>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</si>
  <si>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</si>
  <si>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</si>
  <si>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</si>
  <si>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</si>
  <si>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</si>
  <si>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</si>
  <si>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</si>
  <si>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</si>
  <si>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</si>
  <si>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</si>
  <si>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</si>
  <si>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</si>
  <si>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</si>
  <si>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</si>
  <si>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</si>
  <si>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</si>
  <si>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</si>
  <si>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</si>
  <si>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</si>
  <si>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</si>
  <si>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</si>
  <si>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</si>
  <si>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</si>
  <si>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</si>
  <si>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</si>
  <si>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</si>
  <si>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</si>
  <si>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</si>
  <si>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</si>
  <si>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</si>
  <si>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</si>
  <si>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</si>
  <si>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</si>
  <si>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</si>
  <si>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</si>
  <si>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</si>
  <si>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</si>
  <si>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</si>
  <si>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</si>
  <si>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</si>
  <si>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</si>
  <si>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</si>
  <si>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</si>
  <si>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</si>
  <si>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</si>
  <si>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</si>
  <si>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</si>
  <si>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</si>
  <si>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</si>
  <si>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</si>
  <si>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</si>
  <si>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</si>
  <si>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</si>
  <si>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</si>
  <si>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</si>
  <si>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</si>
  <si>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</si>
  <si>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</si>
  <si>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</si>
  <si>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</si>
  <si>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</si>
  <si>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</si>
  <si>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</si>
  <si>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</si>
  <si>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</si>
  <si>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</si>
  <si>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</si>
  <si>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</si>
  <si>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</si>
  <si>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</si>
  <si>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</si>
  <si>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</si>
  <si>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</si>
  <si>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</si>
  <si>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</si>
  <si>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</si>
  <si>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</si>
  <si>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</si>
  <si>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</si>
  <si>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</si>
  <si>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</si>
  <si>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</si>
  <si>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</si>
  <si>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</si>
  <si>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</si>
  <si>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</si>
  <si>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</si>
  <si>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</si>
  <si>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</si>
  <si>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</si>
  <si>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</si>
  <si>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</si>
  <si>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</si>
  <si>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</si>
  <si>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</si>
  <si>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</si>
  <si>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</si>
  <si>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</si>
  <si>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</si>
  <si>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</si>
  <si>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</si>
  <si>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</si>
  <si>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</si>
  <si>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</si>
  <si>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</si>
  <si>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</si>
  <si>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</si>
  <si>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</si>
  <si>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</si>
  <si>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</si>
  <si>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</si>
  <si>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</si>
  <si>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</si>
  <si>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</si>
  <si>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</si>
  <si>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</si>
  <si>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</si>
  <si>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</si>
  <si>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</si>
  <si>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</si>
  <si>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</si>
  <si>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</si>
  <si>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</si>
  <si>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</si>
  <si>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</si>
  <si>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</si>
  <si>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</si>
  <si>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</si>
  <si>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</si>
  <si>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</si>
  <si>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</si>
  <si>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</si>
  <si>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</si>
  <si>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</si>
  <si>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</si>
  <si>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</si>
  <si>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</si>
  <si>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</si>
  <si>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</si>
  <si>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</si>
  <si>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</si>
  <si>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</si>
  <si>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</si>
  <si>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</si>
  <si>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</si>
  <si>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</si>
  <si>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</si>
  <si>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</si>
  <si>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</si>
  <si>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</si>
  <si>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</si>
  <si>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</si>
  <si>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</si>
  <si>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</si>
  <si>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</si>
  <si>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</si>
  <si>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</si>
  <si>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</si>
  <si>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</si>
  <si>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</si>
  <si>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</si>
  <si>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</si>
  <si>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</si>
  <si>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</si>
  <si>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</si>
  <si>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</si>
  <si>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</si>
  <si>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</si>
  <si>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</si>
  <si>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</si>
  <si>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</si>
  <si>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</si>
  <si>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</si>
  <si>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</si>
  <si>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</si>
  <si>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</si>
  <si>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</si>
  <si>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</si>
  <si>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</si>
  <si>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</si>
  <si>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</si>
  <si>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</si>
  <si>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</si>
  <si>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</si>
  <si>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</si>
  <si>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</si>
  <si>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</si>
  <si>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</si>
  <si>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</si>
  <si>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</si>
  <si>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</si>
  <si>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</si>
  <si>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</si>
  <si>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</si>
  <si>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</si>
  <si>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</si>
  <si>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</si>
  <si>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</si>
  <si>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</si>
  <si>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</si>
  <si>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</si>
  <si>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</si>
  <si>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</si>
  <si>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</si>
  <si>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</si>
  <si>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</si>
  <si>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</si>
  <si>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</si>
  <si>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</si>
  <si>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</si>
  <si>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</si>
  <si>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</si>
  <si>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</si>
  <si>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</si>
  <si>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</si>
  <si>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</si>
  <si>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</si>
  <si>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</si>
  <si>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</si>
  <si>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</si>
  <si>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</si>
  <si>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</si>
  <si>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</si>
  <si>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</si>
  <si>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</si>
  <si>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</si>
  <si>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</si>
  <si>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</si>
  <si>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</si>
  <si>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</si>
  <si>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</si>
  <si>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</si>
  <si>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</si>
  <si>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</si>
  <si>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</si>
  <si>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</si>
  <si>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</si>
  <si>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</si>
  <si>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</si>
  <si>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</si>
  <si>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</si>
  <si>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</si>
  <si>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</si>
  <si>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</si>
  <si>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</si>
  <si>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</si>
  <si>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</si>
  <si>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</si>
  <si>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</si>
  <si>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</si>
  <si>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</si>
  <si>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</si>
  <si>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</si>
  <si>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</si>
  <si>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</si>
  <si>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</si>
  <si>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</si>
  <si>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</si>
  <si>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</si>
  <si>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</si>
  <si>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</si>
  <si>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</si>
  <si>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</si>
  <si>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</si>
  <si>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</si>
  <si>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</si>
  <si>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</si>
  <si>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</si>
  <si>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</si>
  <si>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</si>
  <si>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</si>
  <si>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</si>
  <si>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</si>
  <si>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</si>
  <si>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</si>
  <si>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</si>
  <si>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</si>
  <si>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</si>
  <si>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</si>
  <si>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</si>
  <si>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</si>
  <si>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</si>
  <si>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</si>
  <si>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</si>
  <si>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</si>
  <si>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</si>
  <si>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</si>
  <si>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</si>
  <si>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</si>
  <si>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</si>
  <si>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</si>
  <si>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</si>
  <si>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</si>
  <si>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</si>
  <si>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</si>
  <si>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</si>
  <si>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</si>
  <si>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</si>
  <si>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</si>
  <si>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</si>
  <si>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</si>
  <si>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</si>
  <si>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</si>
  <si>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</si>
  <si>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</si>
  <si>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</si>
  <si>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</si>
  <si>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</si>
  <si>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</si>
  <si>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</si>
  <si>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</si>
  <si>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</si>
  <si>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</si>
  <si>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</si>
  <si>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</si>
  <si>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</si>
  <si>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</si>
  <si>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</si>
  <si>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</si>
  <si>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</si>
  <si>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</si>
  <si>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</si>
  <si>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</si>
  <si>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</si>
  <si>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</si>
  <si>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</si>
  <si>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</si>
  <si>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</si>
  <si>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</si>
  <si>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</si>
  <si>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</si>
  <si>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</si>
  <si>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</si>
  <si>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</si>
  <si>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</si>
  <si>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</si>
  <si>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</si>
  <si>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</si>
  <si>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</si>
  <si>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</si>
  <si>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</si>
  <si>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</si>
  <si>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</si>
  <si>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</si>
  <si>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</si>
  <si>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</si>
  <si>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</si>
  <si>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</si>
  <si>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</si>
  <si>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</si>
  <si>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</si>
  <si>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</si>
  <si>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</si>
  <si>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</si>
  <si>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</si>
  <si>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</si>
  <si>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</si>
  <si>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</si>
  <si>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</si>
  <si>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</si>
  <si>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</si>
  <si>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</si>
  <si>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</si>
  <si>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</si>
  <si>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</si>
  <si>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</si>
  <si>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</si>
  <si>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</si>
  <si>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</si>
  <si>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</si>
  <si>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</si>
  <si>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</si>
  <si>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</si>
  <si>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</si>
  <si>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</si>
  <si>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</si>
  <si>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</si>
  <si>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</si>
  <si>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</si>
  <si>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</si>
  <si>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</si>
  <si>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</si>
  <si>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</si>
  <si>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</si>
  <si>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</si>
  <si>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</si>
  <si>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</si>
  <si>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</si>
  <si>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</si>
  <si>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</si>
  <si>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</si>
  <si>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</si>
  <si>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</si>
  <si>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</si>
  <si>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</si>
  <si>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</si>
  <si>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</si>
  <si>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</si>
  <si>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</si>
  <si>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</si>
  <si>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</si>
  <si>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</si>
  <si>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</si>
  <si>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</si>
  <si>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</si>
  <si>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</si>
  <si>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</si>
  <si>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</si>
  <si>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</si>
  <si>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</si>
  <si>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</si>
  <si>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</si>
  <si>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</si>
  <si>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</si>
  <si>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</si>
  <si>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</si>
  <si>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</si>
  <si>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</si>
  <si>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</si>
  <si>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</si>
  <si>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</si>
  <si>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</si>
  <si>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</si>
  <si>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</si>
  <si>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</si>
  <si>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</si>
  <si>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</si>
  <si>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</si>
  <si>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</si>
  <si>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</si>
  <si>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</si>
  <si>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</si>
  <si>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</si>
  <si>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</si>
  <si>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</si>
  <si>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</si>
  <si>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</si>
  <si>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</si>
  <si>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</si>
  <si>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</si>
  <si>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</si>
  <si>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</si>
  <si>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</si>
  <si>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</si>
  <si>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</si>
  <si>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</si>
  <si>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</si>
  <si>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</si>
  <si>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</si>
  <si>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</si>
  <si>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</si>
  <si>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</si>
  <si>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</si>
  <si>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</si>
  <si>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</si>
  <si>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</si>
  <si>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</si>
  <si>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</si>
  <si>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</si>
  <si>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</si>
  <si>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</si>
  <si>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</si>
  <si>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</si>
  <si>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</si>
  <si>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</si>
  <si>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</si>
  <si>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</si>
  <si>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</si>
  <si>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</si>
  <si>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</si>
  <si>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</si>
  <si>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</si>
  <si>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</si>
  <si>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</si>
  <si>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</si>
  <si>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</si>
  <si>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</si>
  <si>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</si>
  <si>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</si>
  <si>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</si>
  <si>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</si>
  <si>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</si>
  <si>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</si>
  <si>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</si>
  <si>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</si>
  <si>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</si>
  <si>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</si>
  <si>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</si>
  <si>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</si>
  <si>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</si>
  <si>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</si>
  <si>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</si>
  <si>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</si>
  <si>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</si>
  <si>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</si>
  <si>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</si>
  <si>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</si>
  <si>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</si>
  <si>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</si>
  <si>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</si>
  <si>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</si>
  <si>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</si>
  <si>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</si>
  <si>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</si>
  <si>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</si>
  <si>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</si>
  <si>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</si>
  <si>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</si>
  <si>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</si>
  <si>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</si>
  <si>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</si>
  <si>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</si>
  <si>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</si>
  <si>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</si>
  <si>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</si>
  <si>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</si>
  <si>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</si>
  <si>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</si>
  <si>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</si>
  <si>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</si>
  <si>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</si>
  <si>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</si>
  <si>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</si>
  <si>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</si>
  <si>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</si>
  <si>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</si>
  <si>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</si>
  <si>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</si>
  <si>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</si>
  <si>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</si>
  <si>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</si>
  <si>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</si>
  <si>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</si>
  <si>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</si>
  <si>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</si>
  <si>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</si>
  <si>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</si>
  <si>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</si>
  <si>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</si>
  <si>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</si>
  <si>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</si>
  <si>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</si>
  <si>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</si>
  <si>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</si>
  <si>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</si>
  <si>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</si>
  <si>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</si>
  <si>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</si>
  <si>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</si>
  <si>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</si>
  <si>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</si>
  <si>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</si>
  <si>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</si>
  <si>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</si>
  <si>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</si>
  <si>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</si>
  <si>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</si>
  <si>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</si>
  <si>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</si>
  <si>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</si>
  <si>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</si>
  <si>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</si>
  <si>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</si>
  <si>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</si>
  <si>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</si>
  <si>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</si>
  <si>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</si>
  <si>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</si>
  <si>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</si>
  <si>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</si>
  <si>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</si>
  <si>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</si>
  <si>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</si>
  <si>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</si>
  <si>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</si>
  <si>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</si>
  <si>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</si>
  <si>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</si>
  <si>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</si>
  <si>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</si>
  <si>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</si>
  <si>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</si>
  <si>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</si>
  <si>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</si>
  <si>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</si>
  <si>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</si>
  <si>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</si>
  <si>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</si>
  <si>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</si>
  <si>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</si>
  <si>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</si>
  <si>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</si>
  <si>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</si>
  <si>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</si>
  <si>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</si>
  <si>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</si>
  <si>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</si>
  <si>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</si>
  <si>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</si>
  <si>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</si>
  <si>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</si>
  <si>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</si>
  <si>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</si>
  <si>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</si>
  <si>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</si>
  <si>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</si>
  <si>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</si>
  <si>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</si>
  <si>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</si>
  <si>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</si>
  <si>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</si>
  <si>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</si>
  <si>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</si>
  <si>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</si>
  <si>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</si>
  <si>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</si>
  <si>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</si>
  <si>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</si>
  <si>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</si>
  <si>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</si>
  <si>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</si>
  <si>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</si>
  <si>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</si>
  <si>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</si>
  <si>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</si>
  <si>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</si>
  <si>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</si>
  <si>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</si>
  <si>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</si>
  <si>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</si>
  <si>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</si>
  <si>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</si>
  <si>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</si>
  <si>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</si>
  <si>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</si>
  <si>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</si>
  <si>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</si>
  <si>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</si>
  <si>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</si>
  <si>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</si>
  <si>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</si>
  <si>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</si>
  <si>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</si>
  <si>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</si>
  <si>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</si>
  <si>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</si>
  <si>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</si>
  <si>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</si>
  <si>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</si>
  <si>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</si>
  <si>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</si>
  <si>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</si>
  <si>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</si>
  <si>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</si>
  <si>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</si>
  <si>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</si>
  <si>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</si>
  <si>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</si>
  <si>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</si>
  <si>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</si>
  <si>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</si>
  <si>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</si>
  <si>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</si>
  <si>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</si>
  <si>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</si>
  <si>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</si>
  <si>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</si>
  <si>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</si>
  <si>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</si>
  <si>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</si>
  <si>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</si>
  <si>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</si>
  <si>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</si>
  <si>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</si>
  <si>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</si>
  <si>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</si>
  <si>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</si>
  <si>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</si>
  <si>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</si>
  <si>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</si>
  <si>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</si>
  <si>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</si>
  <si>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</si>
  <si>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</si>
  <si>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</si>
  <si>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</si>
  <si>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</si>
  <si>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</si>
  <si>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</si>
  <si>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</si>
  <si>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</si>
  <si>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</si>
  <si>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</si>
  <si>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</si>
  <si>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</si>
  <si>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</si>
  <si>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</si>
  <si>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</si>
  <si>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</si>
  <si>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</si>
  <si>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</si>
  <si>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</si>
  <si>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</si>
  <si>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</si>
  <si>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</si>
  <si>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</si>
  <si>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</si>
  <si>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</si>
  <si>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</si>
  <si>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</si>
  <si>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</si>
  <si>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</si>
  <si>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</si>
  <si>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</si>
  <si>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</si>
  <si>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</si>
  <si>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</si>
  <si>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</si>
  <si>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</si>
  <si>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</si>
  <si>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</si>
  <si>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</si>
  <si>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</si>
  <si>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</si>
  <si>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</si>
  <si>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</si>
  <si>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</si>
  <si>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</si>
  <si>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</si>
  <si>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</si>
  <si>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</si>
  <si>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</si>
  <si>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</si>
  <si>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</si>
  <si>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</si>
  <si>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</si>
  <si>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</si>
  <si>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</si>
  <si>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</si>
  <si>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</si>
  <si>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</si>
  <si>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</si>
  <si>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</si>
  <si>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</si>
  <si>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</si>
  <si>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</si>
  <si>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</si>
  <si>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</si>
  <si>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</si>
  <si>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</si>
  <si>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</si>
  <si>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</si>
  <si>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</si>
  <si>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</si>
  <si>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</si>
  <si>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</si>
  <si>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</si>
  <si>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</si>
  <si>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</si>
  <si>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</si>
  <si>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</si>
  <si>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</si>
  <si>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</si>
  <si>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</si>
  <si>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</si>
  <si>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</si>
  <si>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</si>
  <si>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</si>
  <si>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</si>
  <si>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</si>
  <si>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</si>
  <si>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</si>
  <si>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</si>
  <si>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</si>
  <si>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</si>
  <si>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</si>
  <si>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</si>
  <si>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</si>
  <si>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</si>
  <si>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</si>
  <si>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</si>
  <si>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</si>
  <si>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</si>
  <si>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</si>
  <si>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</si>
  <si>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</si>
  <si>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</si>
  <si>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</si>
  <si>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</si>
  <si>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</si>
  <si>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</si>
  <si>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</si>
  <si>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</si>
  <si>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</si>
  <si>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</si>
  <si>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</si>
  <si>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</si>
  <si>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</si>
  <si>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</si>
  <si>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</si>
  <si>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</si>
  <si>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</si>
  <si>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</si>
  <si>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</si>
  <si>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</si>
  <si>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</si>
  <si>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</si>
  <si>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</si>
  <si>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</si>
  <si>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</si>
  <si>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</si>
  <si>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</si>
  <si>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</si>
  <si>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</si>
  <si>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</si>
  <si>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</si>
  <si>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</si>
  <si>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</si>
  <si>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</si>
  <si>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</si>
  <si>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</si>
  <si>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</si>
  <si>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</si>
  <si>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</si>
  <si>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</si>
  <si>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</si>
  <si>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</si>
  <si>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</si>
  <si>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</si>
  <si>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</si>
  <si>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</si>
  <si>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</si>
  <si>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</si>
  <si>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</si>
  <si>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</si>
  <si>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</si>
  <si>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</si>
  <si>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</si>
  <si>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</si>
  <si>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</si>
  <si>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</si>
  <si>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</si>
  <si>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</si>
  <si>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</si>
  <si>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</si>
  <si>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</si>
  <si>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</si>
  <si>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</si>
  <si>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</si>
  <si>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</si>
  <si>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</si>
  <si>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</si>
  <si>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</si>
  <si>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</si>
  <si>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</si>
  <si>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</si>
  <si>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</si>
  <si>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</si>
  <si>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</si>
  <si>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</si>
  <si>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</si>
  <si>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</si>
  <si>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</si>
  <si>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</si>
  <si>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</si>
  <si>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</si>
  <si>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</si>
  <si>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</si>
  <si>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</si>
  <si>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</si>
  <si>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</si>
  <si>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</si>
  <si>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</si>
  <si>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</si>
  <si>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</si>
  <si>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</si>
  <si>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</si>
  <si>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</si>
  <si>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</si>
  <si>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</si>
  <si>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</si>
  <si>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</si>
  <si>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</si>
  <si>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</si>
  <si>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</si>
  <si>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</si>
  <si>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</si>
  <si>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</si>
  <si>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</si>
  <si>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</si>
  <si>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</si>
  <si>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</si>
  <si>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</si>
  <si>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</si>
  <si>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</si>
  <si>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</si>
  <si>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</si>
  <si>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</si>
  <si>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</si>
  <si>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</si>
  <si>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</si>
  <si>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</si>
  <si>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</si>
  <si>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</si>
  <si>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</si>
  <si>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</si>
  <si>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</si>
  <si>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</si>
  <si>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</si>
  <si>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</si>
  <si>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</si>
  <si>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</si>
  <si>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</si>
  <si>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</si>
  <si>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</si>
  <si>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</si>
  <si>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</si>
  <si>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</si>
  <si>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</si>
  <si>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</si>
  <si>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</si>
  <si>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</si>
  <si>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</si>
  <si>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</si>
  <si>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</si>
  <si>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</si>
  <si>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</si>
  <si>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</si>
  <si>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</si>
  <si>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</si>
  <si>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</si>
  <si>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</si>
  <si>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</si>
  <si>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</si>
  <si>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</si>
  <si>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</si>
  <si>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</si>
  <si>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</si>
  <si>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</si>
  <si>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</si>
  <si>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</si>
  <si>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</si>
  <si>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</si>
  <si>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</si>
  <si>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</si>
  <si>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</si>
  <si>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</si>
  <si>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</si>
  <si>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</si>
  <si>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</si>
  <si>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</si>
  <si>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</si>
  <si>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</si>
  <si>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</si>
  <si>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</si>
  <si>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</si>
  <si>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</si>
  <si>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</si>
  <si>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</si>
  <si>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</si>
  <si>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</si>
  <si>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</si>
  <si>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</si>
  <si>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</si>
  <si>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</si>
  <si>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</si>
  <si>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</si>
  <si>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</si>
  <si>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</si>
  <si>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</si>
  <si>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</si>
  <si>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</si>
  <si>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</si>
  <si>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</si>
  <si>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</si>
  <si>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</si>
  <si>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</si>
  <si>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</si>
  <si>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</si>
  <si>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</si>
  <si>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</si>
  <si>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</si>
  <si>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</si>
  <si>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</si>
  <si>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</si>
  <si>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</si>
  <si>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</si>
  <si>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</si>
  <si>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</si>
  <si>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</si>
  <si>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</si>
  <si>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</si>
  <si>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</si>
  <si>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</si>
  <si>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</si>
  <si>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</si>
  <si>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</si>
  <si>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</si>
  <si>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</si>
  <si>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</si>
  <si>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</si>
  <si>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</si>
  <si>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</si>
  <si>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</si>
  <si>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</si>
  <si>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</si>
  <si>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</si>
  <si>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</si>
  <si>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</si>
  <si>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</si>
  <si>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</si>
  <si>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</si>
  <si>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</si>
  <si>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</si>
  <si>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</si>
  <si>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</si>
  <si>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</si>
  <si>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</si>
  <si>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</si>
  <si>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</si>
  <si>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</si>
  <si>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</si>
  <si>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</si>
  <si>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</si>
  <si>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</si>
  <si>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</si>
  <si>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</si>
  <si>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</si>
  <si>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</si>
  <si>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</si>
  <si>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</si>
  <si>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</si>
  <si>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</si>
  <si>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</si>
  <si>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</si>
  <si>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</si>
  <si>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</si>
  <si>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</si>
  <si>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</si>
  <si>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</si>
  <si>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</si>
  <si>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</si>
  <si>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</si>
  <si>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</si>
  <si>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</si>
  <si>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</si>
  <si>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</si>
  <si>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</si>
  <si>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</si>
  <si>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</si>
  <si>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</si>
  <si>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</si>
  <si>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</si>
  <si>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</si>
  <si>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</si>
  <si>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</si>
  <si>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</si>
  <si>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</si>
  <si>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</si>
  <si>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</si>
  <si>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</si>
  <si>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</si>
  <si>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</si>
  <si>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</si>
  <si>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</si>
  <si>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</si>
  <si>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</si>
  <si>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</si>
  <si>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</si>
  <si>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</si>
  <si>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</si>
  <si>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</si>
  <si>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</si>
  <si>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</si>
  <si>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</si>
  <si>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</si>
  <si>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</si>
  <si>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</si>
  <si>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</si>
  <si>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</si>
  <si>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</si>
  <si>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</si>
  <si>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</si>
  <si>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</si>
  <si>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</si>
  <si>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</si>
  <si>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</si>
  <si>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</si>
  <si>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</si>
  <si>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</si>
  <si>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</si>
  <si>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</si>
  <si>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</si>
  <si>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</si>
  <si>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</si>
  <si>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</si>
  <si>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</si>
  <si>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</si>
  <si>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</si>
  <si>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</si>
  <si>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</si>
  <si>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</si>
  <si>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</si>
  <si>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</si>
  <si>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</si>
  <si>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</si>
  <si>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</si>
  <si>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</si>
  <si>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</si>
  <si>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</si>
  <si>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</si>
  <si>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</si>
  <si>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</si>
  <si>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</si>
  <si>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</si>
  <si>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</si>
  <si>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</si>
  <si>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</si>
  <si>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</si>
  <si>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</si>
  <si>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</si>
  <si>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</si>
  <si>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</si>
  <si>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</si>
  <si>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</si>
  <si>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</si>
  <si>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</si>
  <si>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</si>
  <si>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</si>
  <si>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</si>
  <si>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</si>
  <si>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</si>
  <si>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</si>
  <si>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</si>
  <si>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</si>
  <si>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</si>
  <si>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</si>
  <si>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</si>
  <si>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</si>
  <si>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</si>
  <si>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</si>
  <si>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</si>
  <si>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</si>
  <si>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</si>
  <si>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</si>
  <si>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</si>
  <si>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</si>
  <si>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</si>
  <si>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</si>
  <si>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</si>
  <si>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</si>
  <si>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</si>
  <si>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</si>
  <si>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</si>
  <si>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</si>
  <si>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</si>
  <si>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</si>
  <si>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</si>
  <si>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</si>
  <si>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</si>
  <si>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</si>
  <si>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</si>
  <si>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</si>
  <si>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</si>
  <si>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</si>
  <si>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</si>
  <si>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</si>
  <si>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</si>
  <si>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</si>
  <si>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</si>
  <si>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</si>
  <si>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</si>
  <si>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</si>
  <si>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</si>
  <si>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</si>
  <si>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</si>
  <si>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</si>
  <si>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</si>
  <si>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</si>
  <si>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</si>
  <si>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</si>
  <si>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</si>
  <si>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</si>
  <si>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</si>
  <si>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</si>
  <si>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</si>
  <si>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</si>
  <si>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</si>
  <si>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</si>
  <si>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</si>
  <si>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</si>
  <si>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</si>
  <si>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</si>
  <si>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</si>
  <si>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</si>
  <si>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</si>
  <si>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</si>
  <si>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</si>
  <si>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</si>
  <si>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</si>
  <si>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</si>
  <si>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</si>
  <si>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</si>
  <si>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</si>
  <si>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</si>
  <si>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</si>
  <si>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</si>
  <si>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</si>
  <si>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</si>
  <si>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</si>
  <si>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</si>
  <si>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</si>
  <si>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</si>
  <si>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</si>
  <si>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</si>
  <si>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</si>
  <si>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</si>
  <si>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</si>
  <si>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</si>
  <si>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</si>
  <si>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</si>
  <si>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</si>
  <si>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</si>
  <si>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</si>
  <si>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</si>
  <si>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</si>
  <si>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</si>
  <si>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</si>
  <si>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</si>
  <si>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</si>
  <si>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</si>
  <si>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</si>
  <si>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</si>
  <si>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</si>
  <si>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</si>
  <si>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</si>
  <si>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</si>
  <si>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</si>
  <si>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</si>
  <si>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</si>
  <si>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</si>
  <si>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</si>
  <si>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</si>
  <si>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</si>
  <si>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</si>
  <si>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</si>
  <si>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</si>
  <si>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</si>
  <si>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</si>
  <si>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</si>
  <si>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</si>
  <si>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</si>
  <si>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</si>
  <si>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</si>
  <si>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</si>
  <si>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</si>
  <si>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</si>
  <si>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</si>
  <si>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</si>
  <si>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</si>
  <si>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</si>
  <si>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</si>
  <si>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</si>
  <si>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</si>
  <si>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</si>
  <si>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</si>
  <si>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</si>
  <si>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</si>
  <si>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</si>
  <si>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</si>
  <si>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</si>
  <si>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</si>
  <si>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</si>
  <si>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</si>
  <si>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</si>
  <si>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</si>
  <si>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</si>
  <si>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</si>
  <si>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</si>
  <si>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</si>
  <si>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</si>
  <si>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</si>
  <si>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</si>
  <si>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</si>
  <si>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</si>
  <si>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</si>
  <si>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</si>
  <si>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</si>
  <si>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</si>
  <si>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</si>
  <si>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</si>
  <si>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</si>
  <si>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</si>
  <si>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</si>
  <si>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</si>
  <si>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</si>
  <si>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</si>
  <si>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</si>
  <si>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</si>
  <si>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</si>
  <si>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</si>
  <si>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</si>
  <si>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</si>
  <si>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</si>
  <si>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</si>
  <si>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</si>
  <si>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</si>
  <si>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</si>
  <si>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</si>
  <si>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</si>
  <si>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</si>
  <si>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</si>
  <si>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</si>
  <si>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</si>
  <si>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</si>
  <si>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</si>
  <si>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</si>
  <si>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</si>
  <si>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</si>
  <si>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</si>
  <si>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</si>
  <si>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</si>
  <si>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</si>
  <si>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</si>
  <si>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</si>
  <si>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</si>
  <si>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</si>
  <si>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</si>
  <si>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</si>
  <si>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</si>
  <si>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</si>
  <si>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</si>
  <si>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</si>
  <si>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</si>
  <si>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</si>
  <si>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</si>
  <si>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</si>
  <si>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</si>
  <si>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</si>
  <si>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</si>
  <si>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</si>
  <si>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</si>
  <si>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</si>
  <si>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</si>
  <si>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</si>
  <si>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</si>
  <si>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</si>
  <si>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</si>
  <si>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</si>
  <si>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</si>
  <si>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</si>
  <si>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</si>
  <si>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</si>
  <si>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</si>
  <si>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</si>
  <si>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</si>
  <si>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</si>
  <si>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</si>
  <si>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</si>
  <si>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</si>
  <si>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</si>
  <si>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</si>
  <si>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</si>
  <si>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</si>
  <si>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</si>
  <si>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</si>
  <si>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</si>
  <si>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</si>
  <si>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</si>
  <si>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</si>
  <si>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</si>
  <si>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</si>
  <si>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</si>
  <si>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</si>
  <si>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</si>
  <si>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</si>
  <si>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</si>
  <si>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</si>
  <si>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</si>
  <si>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</si>
  <si>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</si>
  <si>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</si>
  <si>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</si>
  <si>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</si>
  <si>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</si>
  <si>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</si>
  <si>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</si>
  <si>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</si>
  <si>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</si>
  <si>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</si>
  <si>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</si>
  <si>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</si>
  <si>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</si>
  <si>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</si>
  <si>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</si>
  <si>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</si>
  <si>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</si>
  <si>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</si>
  <si>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</si>
  <si>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</si>
  <si>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</si>
  <si>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</si>
  <si>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</si>
  <si>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</si>
  <si>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</si>
  <si>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</si>
  <si>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</si>
  <si>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</si>
  <si>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</si>
  <si>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</si>
  <si>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</si>
  <si>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</si>
  <si>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</si>
  <si>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</si>
  <si>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</si>
  <si>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</si>
  <si>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</si>
  <si>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</si>
  <si>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</si>
  <si>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</si>
  <si>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</si>
  <si>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</si>
  <si>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</si>
  <si>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</si>
  <si>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</si>
  <si>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</si>
  <si>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</si>
  <si>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</si>
  <si>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</si>
  <si>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</si>
  <si>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</si>
  <si>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</si>
  <si>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</si>
  <si>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</si>
  <si>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</si>
  <si>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</si>
  <si>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</si>
  <si>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</si>
  <si>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</si>
  <si>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</si>
  <si>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</si>
  <si>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</si>
  <si>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</si>
  <si>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</si>
  <si>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</si>
  <si>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</si>
  <si>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</si>
  <si>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</si>
  <si>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</si>
  <si>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</si>
  <si>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</si>
  <si>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</si>
  <si>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</si>
  <si>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</si>
  <si>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</si>
  <si>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</si>
  <si>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</si>
  <si>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</si>
  <si>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</si>
  <si>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</si>
  <si>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</si>
  <si>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</si>
  <si>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</si>
  <si>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</si>
  <si>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</si>
  <si>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</si>
  <si>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</si>
  <si>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</si>
  <si>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</si>
  <si>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</si>
  <si>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</si>
  <si>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</si>
  <si>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</si>
  <si>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</si>
  <si>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</si>
  <si>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</si>
  <si>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</si>
  <si>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</si>
  <si>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</si>
  <si>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</si>
  <si>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</si>
  <si>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</si>
  <si>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</si>
  <si>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</si>
  <si>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</si>
  <si>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</si>
  <si>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</si>
  <si>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</si>
  <si>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</si>
  <si>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</si>
  <si>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</si>
  <si>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</si>
  <si>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</si>
  <si>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</si>
  <si>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</si>
  <si>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</si>
  <si>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</si>
  <si>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</si>
  <si>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</si>
  <si>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</si>
  <si>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</si>
  <si>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</si>
  <si>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</si>
  <si>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</si>
  <si>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</si>
  <si>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</si>
  <si>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</si>
  <si>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</si>
  <si>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</si>
  <si>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</si>
  <si>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</si>
  <si>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</si>
  <si>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</si>
  <si>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</si>
  <si>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</si>
  <si>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</si>
  <si>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</si>
  <si>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</si>
  <si>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</si>
  <si>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</si>
  <si>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</si>
  <si>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</si>
  <si>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</si>
  <si>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</si>
  <si>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</si>
  <si>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</si>
  <si>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</si>
  <si>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</si>
  <si>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</si>
  <si>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</si>
  <si>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</si>
  <si>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</si>
  <si>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</si>
  <si>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</si>
  <si>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</si>
  <si>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</si>
  <si>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</si>
  <si>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</si>
  <si>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</si>
  <si>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</si>
  <si>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</si>
  <si>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</si>
  <si>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</si>
  <si>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</si>
  <si>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</si>
  <si>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</si>
  <si>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</si>
  <si>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</si>
  <si>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</si>
  <si>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</si>
  <si>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</si>
  <si>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</si>
  <si>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</si>
  <si>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</si>
  <si>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</si>
  <si>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</si>
  <si>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</si>
  <si>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</si>
  <si>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</si>
  <si>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</si>
  <si>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</si>
  <si>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</si>
  <si>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</si>
  <si>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</si>
  <si>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</si>
  <si>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</si>
  <si>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</si>
  <si>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</si>
  <si>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</si>
  <si>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</si>
  <si>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</si>
  <si>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</si>
  <si>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</si>
  <si>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</si>
  <si>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</si>
  <si>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</si>
  <si>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</si>
  <si>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</si>
  <si>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</si>
  <si>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</si>
  <si>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</si>
  <si>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</si>
  <si>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</si>
  <si>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</si>
  <si>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</si>
  <si>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</si>
  <si>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</si>
  <si>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</si>
  <si>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</si>
  <si>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</si>
  <si>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</si>
  <si>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</si>
  <si>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</si>
  <si>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</si>
  <si>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</si>
  <si>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</si>
  <si>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</si>
  <si>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</si>
  <si>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</si>
  <si>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</si>
  <si>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</si>
  <si>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</si>
  <si>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</si>
  <si>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</si>
  <si>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</si>
  <si>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</si>
  <si>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</si>
  <si>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</si>
  <si>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</si>
  <si>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</si>
  <si>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</si>
  <si>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</si>
  <si>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</si>
  <si>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</si>
  <si>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</si>
  <si>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</si>
  <si>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</si>
  <si>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</si>
  <si>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</si>
  <si>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</si>
  <si>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</si>
  <si>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</si>
  <si>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</si>
  <si>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</si>
  <si>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</si>
  <si>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</si>
  <si>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</si>
  <si>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</si>
  <si>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</si>
  <si>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</si>
  <si>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</si>
  <si>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</si>
  <si>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</si>
  <si>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</si>
  <si>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</si>
  <si>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</si>
  <si>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</si>
  <si>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</si>
  <si>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</si>
  <si>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</si>
  <si>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</si>
  <si>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</si>
  <si>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</si>
  <si>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</si>
  <si>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</si>
  <si>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</si>
  <si>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</si>
  <si>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</si>
  <si>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</si>
  <si>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</si>
  <si>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</si>
  <si>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</si>
  <si>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</si>
  <si>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</si>
  <si>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</si>
  <si>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</si>
  <si>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</si>
  <si>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</si>
  <si>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</si>
  <si>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</si>
  <si>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</si>
  <si>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</si>
  <si>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</si>
  <si>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</si>
  <si>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</si>
  <si>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</si>
  <si>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</si>
  <si>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</si>
  <si>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</si>
  <si>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</si>
  <si>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</si>
  <si>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</si>
  <si>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</si>
  <si>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</si>
  <si>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</si>
  <si>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</si>
  <si>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</si>
  <si>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</si>
  <si>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</si>
  <si>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</si>
  <si>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</si>
  <si>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</si>
  <si>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</si>
  <si>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</si>
  <si>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</si>
  <si>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</si>
  <si>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</si>
  <si>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</si>
  <si>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</si>
  <si>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</si>
  <si>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</si>
  <si>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</si>
  <si>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</si>
  <si>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</si>
  <si>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</si>
  <si>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</si>
  <si>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</si>
  <si>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</si>
  <si>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</si>
  <si>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</si>
  <si>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</si>
  <si>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</si>
  <si>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</si>
  <si>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</si>
  <si>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</si>
  <si>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</si>
  <si>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</si>
  <si>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</si>
  <si>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</si>
  <si>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</si>
  <si>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</si>
  <si>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</si>
  <si>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</si>
  <si>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</si>
  <si>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</si>
  <si>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</si>
  <si>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</si>
  <si>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</si>
  <si>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</si>
  <si>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</si>
  <si>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</si>
  <si>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</si>
  <si>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</si>
  <si>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</si>
  <si>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</si>
  <si>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</si>
  <si>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</si>
  <si>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</si>
  <si>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</si>
  <si>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</si>
  <si>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</si>
  <si>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</si>
  <si>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</si>
  <si>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</si>
  <si>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</si>
  <si>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</si>
  <si>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</si>
  <si>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</si>
  <si>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</si>
  <si>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</si>
  <si>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</si>
  <si>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</si>
  <si>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</si>
  <si>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</si>
  <si>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</si>
  <si>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</si>
  <si>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</si>
  <si>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</si>
  <si>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</si>
  <si>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</si>
  <si>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</si>
  <si>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</si>
  <si>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</si>
  <si>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</si>
  <si>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</si>
  <si>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</si>
  <si>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</si>
  <si>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</si>
  <si>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</si>
  <si>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</si>
  <si>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</si>
  <si>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</si>
  <si>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</si>
  <si>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</si>
  <si>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</si>
  <si>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</si>
  <si>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</si>
  <si>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</si>
  <si>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</si>
  <si>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</si>
  <si>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</si>
  <si>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</si>
  <si>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</si>
  <si>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</si>
  <si>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</si>
  <si>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</si>
  <si>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</si>
  <si>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</si>
  <si>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</si>
  <si>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</si>
  <si>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</si>
  <si>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</si>
  <si>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</si>
  <si>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</si>
  <si>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</si>
  <si>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</si>
  <si>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</si>
  <si>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</si>
  <si>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</si>
  <si>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</si>
  <si>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</si>
  <si>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</si>
  <si>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</si>
  <si>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</si>
  <si>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</si>
  <si>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</si>
  <si>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</si>
  <si>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</si>
  <si>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</si>
  <si>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</si>
  <si>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</si>
  <si>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</si>
  <si>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</si>
  <si>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</si>
  <si>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</si>
  <si>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</si>
  <si>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</si>
  <si>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</si>
  <si>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</si>
  <si>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</si>
  <si>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</si>
  <si>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</si>
  <si>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</si>
  <si>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</si>
  <si>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</si>
  <si>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</si>
  <si>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</si>
  <si>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</si>
  <si>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</si>
  <si>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</si>
  <si>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</si>
  <si>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</si>
  <si>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</si>
  <si>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</si>
  <si>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</si>
  <si>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</si>
  <si>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</si>
  <si>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</si>
  <si>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</si>
  <si>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</si>
  <si>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</si>
  <si>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</si>
  <si>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</si>
  <si>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</si>
  <si>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</si>
  <si>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</si>
  <si>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</si>
  <si>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</si>
  <si>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</si>
  <si>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</si>
  <si>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</si>
  <si>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</si>
  <si>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</si>
  <si>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</si>
  <si>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</si>
  <si>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</si>
  <si>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</si>
  <si>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</si>
  <si>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</si>
  <si>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</si>
  <si>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</si>
  <si>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</si>
  <si>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</si>
  <si>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</si>
  <si>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</si>
  <si>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</si>
  <si>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</si>
  <si>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</si>
  <si>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</si>
  <si>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</si>
  <si>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</si>
  <si>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</si>
  <si>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</si>
  <si>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</si>
  <si>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</si>
  <si>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</si>
  <si>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</si>
  <si>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</si>
  <si>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</si>
  <si>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</si>
  <si>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</si>
  <si>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</si>
  <si>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</si>
  <si>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</si>
  <si>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</si>
  <si>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</si>
  <si>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</si>
  <si>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</si>
  <si>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</si>
  <si>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</si>
  <si>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</si>
  <si>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</si>
  <si>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</si>
  <si>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</si>
  <si>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</si>
  <si>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</si>
  <si>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</si>
  <si>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</si>
  <si>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</si>
  <si>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</si>
  <si>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</si>
  <si>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</si>
  <si>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</si>
  <si>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</si>
  <si>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</si>
  <si>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</si>
  <si>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</si>
  <si>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</si>
  <si>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</si>
  <si>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</si>
  <si>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</si>
  <si>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</si>
  <si>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</si>
  <si>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</si>
  <si>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</si>
  <si>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</si>
  <si>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</si>
  <si>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</si>
  <si>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</si>
  <si>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</si>
  <si>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</si>
  <si>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</si>
  <si>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</si>
  <si>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</si>
  <si>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</si>
  <si>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</si>
  <si>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</si>
  <si>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</si>
  <si>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</si>
  <si>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</si>
  <si>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</si>
  <si>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</si>
  <si>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</si>
  <si>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</si>
  <si>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</si>
  <si>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</si>
  <si>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</si>
  <si>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</si>
  <si>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</si>
  <si>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</si>
  <si>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</si>
  <si>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</si>
  <si>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</si>
  <si>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</si>
  <si>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</si>
  <si>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</si>
  <si>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</si>
  <si>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</si>
  <si>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</si>
  <si>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</si>
  <si>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</si>
  <si>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</si>
  <si>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</si>
  <si>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</si>
  <si>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</si>
  <si>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</si>
  <si>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</si>
  <si>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</si>
  <si>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</si>
  <si>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</si>
  <si>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</si>
  <si>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</si>
  <si>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</si>
  <si>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</si>
  <si>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</si>
  <si>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</si>
  <si>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</si>
  <si>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</si>
  <si>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</si>
  <si>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</si>
  <si>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</si>
  <si>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</si>
  <si>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</si>
  <si>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</si>
  <si>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</si>
  <si>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</si>
  <si>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</si>
  <si>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</si>
  <si>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</si>
  <si>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</si>
  <si>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</si>
  <si>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</si>
  <si>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</si>
  <si>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</si>
  <si>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</si>
  <si>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</si>
  <si>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</si>
  <si>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</si>
  <si>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</si>
  <si>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</si>
  <si>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</si>
  <si>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</si>
  <si>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</si>
  <si>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</si>
  <si>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</si>
  <si>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</si>
  <si>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</si>
  <si>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</si>
  <si>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</si>
  <si>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</si>
  <si>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</si>
  <si>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</si>
  <si>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</si>
  <si>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</si>
  <si>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</si>
  <si>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</si>
  <si>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</si>
  <si>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</si>
  <si>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</si>
  <si>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</si>
  <si>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</si>
  <si>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</si>
  <si>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</si>
  <si>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</si>
  <si>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</si>
  <si>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</si>
  <si>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</si>
  <si>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</si>
  <si>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</si>
  <si>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</si>
  <si>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</si>
  <si>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</si>
  <si>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</si>
  <si>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</si>
  <si>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</si>
  <si>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</si>
  <si>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</si>
  <si>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</si>
  <si>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</si>
  <si>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</si>
  <si>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</si>
  <si>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</si>
  <si>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</si>
  <si>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</si>
  <si>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</si>
  <si>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</si>
  <si>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</si>
  <si>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</si>
  <si>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</si>
  <si>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</si>
  <si>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</si>
  <si>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</si>
  <si>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</si>
  <si>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</si>
  <si>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</si>
  <si>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</si>
  <si>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</si>
  <si>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</si>
  <si>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</si>
  <si>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</si>
  <si>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</si>
  <si>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</si>
  <si>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</si>
  <si>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</si>
  <si>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</si>
  <si>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</si>
  <si>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</si>
  <si>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</si>
  <si>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</si>
  <si>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</si>
  <si>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</si>
  <si>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</si>
  <si>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</si>
  <si>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</si>
  <si>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</si>
  <si>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</si>
  <si>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</si>
  <si>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</si>
  <si>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</si>
  <si>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</si>
  <si>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</si>
  <si>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</si>
  <si>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</si>
  <si>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</si>
  <si>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</si>
  <si>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</si>
  <si>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</si>
  <si>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</si>
  <si>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</si>
  <si>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</si>
  <si>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</si>
  <si>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</si>
  <si>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</si>
  <si>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</si>
  <si>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</si>
  <si>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</si>
  <si>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</si>
  <si>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</si>
  <si>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</si>
  <si>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</si>
  <si>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</si>
  <si>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</si>
  <si>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</si>
  <si>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</si>
  <si>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</si>
  <si>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</si>
  <si>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</si>
  <si>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</si>
  <si>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</si>
  <si>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</si>
  <si>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</si>
  <si>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</si>
  <si>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</si>
  <si>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</si>
  <si>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</si>
  <si>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</si>
  <si>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</si>
  <si>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</si>
  <si>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</si>
  <si>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</si>
  <si>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</si>
  <si>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</si>
  <si>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</si>
  <si>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</si>
  <si>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</si>
  <si>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</si>
  <si>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</si>
  <si>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</si>
  <si>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</si>
  <si>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</si>
  <si>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</si>
  <si>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</si>
  <si>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</si>
  <si>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</si>
  <si>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</si>
  <si>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</si>
  <si>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</si>
  <si>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</si>
  <si>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</si>
  <si>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</si>
  <si>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</si>
  <si>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</si>
  <si>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</si>
  <si>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</si>
  <si>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</si>
  <si>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</si>
  <si>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</si>
  <si>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</si>
  <si>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</si>
  <si>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</si>
  <si>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</si>
  <si>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</si>
  <si>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</si>
  <si>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</si>
  <si>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</si>
  <si>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</si>
  <si>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</si>
  <si>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</si>
  <si>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</si>
  <si>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</si>
  <si>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</si>
  <si>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</si>
  <si>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</si>
  <si>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</si>
  <si>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</si>
  <si>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</si>
  <si>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</si>
  <si>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</si>
  <si>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</si>
  <si>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</si>
  <si>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</si>
  <si>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</si>
  <si>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</si>
  <si>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</si>
  <si>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</si>
  <si>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</si>
  <si>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</si>
  <si>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</si>
  <si>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</si>
  <si>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</si>
  <si>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</si>
  <si>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</si>
  <si>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</si>
  <si>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</si>
  <si>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</si>
  <si>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</si>
  <si>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</si>
  <si>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</si>
  <si>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</si>
  <si>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</si>
  <si>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</si>
  <si>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</si>
  <si>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</si>
  <si>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</si>
  <si>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</si>
  <si>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</si>
  <si>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</si>
  <si>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</si>
  <si>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</si>
  <si>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</si>
  <si>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</si>
  <si>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</si>
  <si>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</si>
  <si>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</si>
  <si>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</si>
  <si>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</si>
  <si>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</si>
  <si>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</si>
  <si>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</si>
  <si>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</si>
  <si>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</si>
  <si>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</si>
  <si>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</si>
  <si>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</si>
  <si>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</si>
  <si>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</si>
  <si>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</si>
  <si>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</si>
  <si>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</si>
  <si>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</si>
  <si>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</si>
  <si>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</si>
  <si>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</si>
  <si>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</si>
  <si>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</si>
  <si>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</si>
  <si>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</si>
  <si>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</si>
  <si>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</si>
  <si>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</si>
  <si>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</si>
  <si>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</si>
  <si>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</si>
  <si>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</si>
  <si>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</si>
  <si>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</si>
  <si>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</si>
  <si>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</si>
  <si>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</si>
  <si>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</si>
  <si>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</si>
  <si>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</si>
  <si>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</si>
  <si>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</si>
  <si>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</si>
  <si>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</si>
  <si>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</si>
  <si>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</si>
  <si>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</si>
  <si>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</si>
  <si>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</si>
  <si>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</si>
  <si>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</si>
  <si>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</si>
  <si>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</si>
  <si>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</si>
  <si>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</si>
  <si>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</si>
  <si>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</si>
  <si>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</si>
  <si>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</si>
  <si>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</si>
  <si>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</si>
  <si>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</si>
  <si>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</si>
  <si>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</si>
  <si>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</si>
  <si>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</si>
  <si>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</si>
  <si>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</si>
  <si>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</si>
  <si>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</si>
  <si>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</si>
  <si>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</si>
  <si>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</si>
  <si>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</si>
  <si>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</si>
  <si>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</si>
  <si>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</si>
  <si>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</si>
  <si>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</si>
  <si>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</si>
  <si>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</si>
  <si>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</si>
  <si>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</si>
  <si>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</si>
  <si>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</si>
  <si>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</si>
  <si>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</si>
  <si>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</si>
  <si>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</si>
  <si>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</si>
  <si>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</si>
  <si>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</si>
  <si>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</si>
  <si>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</si>
  <si>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</si>
  <si>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</si>
  <si>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</si>
  <si>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</si>
  <si>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</si>
  <si>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</si>
  <si>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</si>
  <si>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</si>
  <si>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</si>
  <si>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</si>
  <si>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</si>
  <si>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</si>
  <si>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</si>
  <si>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</si>
  <si>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</si>
  <si>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</si>
  <si>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</si>
  <si>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</si>
  <si>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</si>
  <si>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</si>
  <si>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</si>
  <si>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</si>
  <si>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</si>
  <si>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</si>
  <si>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</si>
  <si>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</si>
  <si>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</si>
  <si>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</si>
  <si>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</si>
  <si>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</si>
  <si>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</si>
  <si>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</si>
  <si>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</si>
  <si>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</si>
  <si>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</si>
  <si>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</si>
  <si>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</si>
  <si>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</si>
  <si>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</si>
  <si>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</si>
  <si>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</si>
  <si>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</si>
  <si>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</si>
  <si>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</si>
  <si>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</si>
  <si>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</si>
  <si>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</si>
  <si>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</si>
  <si>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</si>
  <si>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</si>
  <si>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</si>
  <si>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</si>
  <si>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</si>
  <si>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</si>
  <si>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</si>
  <si>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</si>
  <si>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</si>
  <si>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</si>
  <si>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</si>
  <si>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</si>
  <si>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</si>
  <si>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</si>
  <si>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</si>
  <si>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</si>
  <si>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</si>
  <si>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</si>
  <si>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</si>
  <si>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</si>
  <si>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</si>
  <si>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</si>
  <si>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</si>
  <si>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</si>
  <si>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</si>
  <si>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</si>
  <si>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</si>
  <si>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</si>
  <si>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</si>
  <si>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</si>
  <si>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</si>
  <si>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</si>
  <si>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</si>
  <si>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</si>
  <si>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</si>
  <si>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</si>
  <si>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</si>
  <si>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</si>
  <si>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</si>
  <si>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</si>
  <si>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</si>
  <si>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</si>
  <si>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</si>
  <si>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</si>
  <si>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</si>
  <si>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</si>
  <si>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</si>
  <si>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</si>
  <si>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</si>
  <si>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</si>
  <si>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</si>
  <si>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</si>
  <si>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</si>
  <si>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</si>
  <si>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</si>
  <si>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</si>
  <si>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</si>
  <si>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</si>
  <si>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</si>
  <si>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</si>
  <si>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</si>
  <si>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</si>
  <si>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</si>
  <si>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</si>
  <si>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</si>
  <si>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</si>
  <si>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</si>
  <si>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</si>
  <si>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</si>
  <si>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</si>
  <si>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</si>
  <si>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</si>
  <si>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</si>
  <si>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</si>
  <si>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</si>
  <si>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</si>
  <si>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</si>
  <si>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</si>
  <si>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</si>
  <si>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</si>
  <si>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</si>
  <si>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</si>
  <si>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</si>
  <si>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</si>
  <si>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</si>
  <si>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</si>
  <si>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</si>
  <si>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</si>
  <si>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</si>
  <si>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</si>
  <si>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</si>
  <si>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</si>
  <si>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</si>
  <si>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</si>
  <si>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</si>
  <si>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</si>
  <si>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</si>
  <si>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</si>
  <si>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</si>
  <si>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</si>
  <si>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</si>
  <si>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</si>
  <si>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</si>
  <si>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</si>
  <si>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</si>
  <si>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</si>
  <si>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</si>
  <si>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</si>
  <si>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</si>
  <si>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</si>
  <si>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</si>
  <si>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</si>
  <si>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</si>
  <si>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</si>
  <si>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</si>
  <si>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</si>
  <si>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</si>
  <si>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</si>
  <si>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</si>
  <si>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</si>
  <si>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</si>
  <si>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</si>
  <si>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</si>
  <si>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</si>
  <si>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</si>
  <si>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</si>
  <si>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</si>
  <si>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</si>
  <si>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</si>
  <si>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</si>
  <si>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</si>
  <si>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</si>
  <si>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</si>
  <si>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</si>
  <si>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</si>
  <si>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</si>
  <si>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</si>
  <si>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</si>
  <si>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</si>
  <si>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</si>
  <si>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</si>
  <si>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</si>
  <si>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</si>
  <si>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</si>
  <si>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</si>
  <si>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</si>
  <si>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</si>
  <si>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</si>
  <si>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</si>
  <si>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</si>
  <si>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</si>
  <si>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</si>
  <si>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</si>
  <si>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</si>
  <si>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</si>
  <si>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</si>
  <si>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</si>
  <si>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</si>
  <si>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</si>
  <si>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</si>
  <si>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</si>
  <si>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</si>
  <si>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</si>
  <si>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</si>
  <si>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</si>
  <si>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</si>
  <si>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</si>
  <si>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</si>
  <si>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</si>
  <si>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</si>
  <si>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</si>
  <si>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</si>
  <si>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</si>
  <si>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</si>
  <si>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</si>
  <si>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</si>
  <si>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</si>
  <si>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</si>
  <si>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</si>
  <si>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</si>
  <si>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</si>
  <si>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</si>
  <si>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</si>
  <si>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</si>
  <si>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</si>
  <si>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</si>
  <si>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</si>
  <si>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</si>
  <si>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</si>
  <si>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</si>
  <si>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</si>
  <si>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</si>
  <si>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</si>
  <si>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</si>
  <si>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</si>
  <si>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</si>
  <si>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</si>
  <si>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</si>
  <si>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</si>
  <si>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</si>
  <si>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</si>
  <si>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</si>
  <si>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</si>
  <si>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</si>
  <si>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</si>
  <si>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</si>
  <si>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</si>
  <si>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</si>
  <si>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</si>
  <si>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</si>
  <si>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</si>
  <si>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</si>
  <si>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</si>
  <si>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</si>
  <si>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</si>
  <si>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</si>
  <si>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</si>
  <si>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</si>
  <si>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</si>
  <si>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</si>
  <si>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</si>
  <si>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</si>
  <si>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</si>
  <si>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</si>
  <si>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</si>
  <si>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</si>
  <si>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</si>
  <si>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</si>
  <si>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</si>
  <si>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</si>
  <si>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</si>
  <si>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</si>
  <si>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</si>
  <si>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</si>
  <si>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</si>
  <si>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</si>
  <si>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</si>
  <si>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</si>
  <si>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</si>
  <si>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</si>
  <si>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</si>
  <si>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</si>
  <si>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</si>
  <si>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</si>
  <si>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</si>
  <si>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</si>
  <si>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</si>
  <si>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</si>
  <si>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</si>
  <si>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</si>
  <si>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</si>
  <si>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</si>
  <si>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</si>
  <si>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</si>
  <si>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</si>
  <si>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</si>
  <si>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</si>
  <si>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</si>
  <si>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</si>
  <si>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</si>
  <si>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</si>
  <si>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</si>
  <si>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</si>
  <si>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</si>
  <si>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</si>
  <si>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</si>
  <si>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</si>
  <si>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</si>
  <si>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</si>
  <si>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</si>
  <si>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</si>
  <si>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</si>
  <si>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</si>
  <si>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</si>
  <si>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</si>
  <si>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</si>
  <si>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</si>
  <si>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</si>
  <si>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</si>
  <si>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</si>
  <si>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</si>
  <si>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</si>
  <si>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</si>
  <si>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</si>
  <si>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</si>
  <si>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</si>
  <si>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</si>
  <si>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</si>
  <si>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</si>
  <si>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</si>
  <si>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</si>
  <si>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</si>
  <si>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</si>
  <si>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</si>
  <si>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</si>
  <si>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</si>
  <si>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</si>
  <si>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</si>
  <si>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</si>
  <si>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</si>
  <si>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</si>
  <si>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</si>
  <si>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</si>
  <si>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</si>
  <si>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</si>
  <si>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</si>
  <si>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</si>
  <si>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</si>
  <si>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</si>
  <si>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</si>
  <si>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</si>
  <si>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</si>
  <si>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</si>
  <si>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</si>
  <si>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</si>
  <si>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</si>
  <si>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</si>
  <si>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</si>
  <si>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</si>
  <si>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</si>
  <si>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</si>
  <si>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</si>
  <si>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</si>
  <si>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</si>
  <si>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</si>
  <si>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</si>
  <si>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</si>
  <si>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</si>
  <si>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</si>
  <si>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</si>
  <si>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</si>
  <si>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</si>
  <si>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</si>
  <si>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</si>
  <si>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</si>
  <si>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</si>
  <si>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</si>
  <si>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</si>
  <si>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</si>
  <si>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</si>
  <si>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</si>
  <si>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</si>
  <si>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</si>
  <si>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</si>
  <si>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</si>
  <si>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</si>
  <si>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</si>
  <si>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</si>
  <si>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</si>
  <si>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</si>
  <si>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</si>
  <si>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</si>
  <si>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</si>
  <si>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</si>
  <si>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</si>
  <si>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</si>
  <si>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</si>
  <si>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</si>
  <si>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</si>
  <si>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</si>
  <si>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</si>
  <si>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</si>
  <si>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</si>
  <si>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</si>
  <si>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</si>
  <si>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</si>
  <si>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</si>
  <si>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</si>
  <si>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</si>
  <si>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</si>
  <si>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</si>
  <si>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</si>
  <si>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</si>
  <si>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</si>
  <si>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</si>
  <si>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</si>
  <si>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</si>
  <si>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</si>
  <si>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</si>
  <si>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</si>
  <si>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</si>
  <si>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</si>
  <si>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</si>
  <si>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</si>
  <si>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</si>
  <si>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</si>
  <si>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</si>
  <si>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</si>
  <si>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</si>
  <si>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</si>
  <si>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</si>
  <si>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</si>
  <si>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</si>
  <si>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</si>
  <si>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</si>
  <si>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</si>
  <si>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</si>
  <si>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</si>
  <si>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</si>
  <si>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</si>
  <si>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</si>
  <si>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</si>
  <si>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</si>
  <si>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</si>
  <si>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</si>
  <si>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</si>
  <si>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</si>
  <si>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</si>
  <si>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</si>
  <si>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</si>
  <si>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</si>
  <si>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</si>
  <si>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</si>
  <si>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</si>
  <si>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</si>
  <si>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</si>
  <si>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</si>
  <si>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</si>
  <si>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</si>
  <si>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</si>
  <si>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</si>
  <si>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</si>
  <si>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</si>
  <si>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</si>
  <si>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</si>
  <si>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</si>
  <si>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</si>
  <si>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</si>
  <si>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</si>
  <si>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</si>
  <si>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</si>
  <si>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</si>
  <si>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</si>
  <si>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</si>
  <si>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</si>
  <si>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</si>
  <si>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</si>
  <si>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</si>
  <si>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</si>
  <si>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</si>
  <si>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</si>
  <si>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</si>
  <si>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</si>
  <si>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</si>
  <si>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</si>
  <si>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</si>
  <si>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</si>
  <si>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</si>
  <si>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</si>
  <si>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</si>
  <si>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</si>
  <si>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</si>
  <si>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</si>
  <si>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</si>
  <si>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</si>
  <si>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</si>
  <si>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</si>
  <si>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</si>
  <si>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</si>
  <si>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</si>
  <si>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</si>
  <si>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</si>
  <si>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</si>
  <si>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</si>
  <si>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</si>
  <si>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</si>
  <si>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</si>
  <si>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</si>
  <si>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</si>
  <si>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</si>
  <si>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</si>
  <si>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</si>
  <si>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</si>
  <si>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</si>
  <si>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</si>
  <si>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</si>
  <si>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</si>
  <si>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</si>
  <si>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</si>
  <si>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</si>
  <si>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</si>
  <si>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</si>
  <si>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</si>
  <si>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</si>
  <si>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</si>
  <si>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</si>
  <si>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</si>
  <si>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</si>
  <si>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</si>
  <si>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</si>
  <si>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</si>
  <si>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</si>
  <si>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</si>
  <si>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</si>
  <si>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</si>
  <si>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</si>
  <si>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</si>
  <si>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</si>
  <si>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</si>
  <si>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</si>
  <si>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</si>
  <si>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</si>
  <si>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</si>
  <si>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</si>
  <si>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</si>
  <si>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</si>
  <si>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</si>
  <si>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</si>
  <si>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</si>
  <si>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</si>
  <si>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</si>
  <si>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</si>
  <si>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</si>
  <si>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</si>
  <si>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</si>
  <si>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</si>
  <si>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</si>
  <si>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</si>
  <si>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</si>
  <si>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</si>
  <si>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</si>
  <si>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</si>
  <si>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</si>
  <si>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</si>
  <si>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</si>
  <si>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</si>
  <si>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</si>
  <si>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</si>
  <si>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</si>
  <si>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</si>
  <si>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</si>
  <si>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</si>
  <si>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</si>
  <si>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</si>
  <si>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</si>
  <si>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</si>
  <si>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</si>
  <si>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</si>
  <si>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</si>
  <si>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</si>
  <si>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</si>
  <si>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</si>
  <si>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</si>
  <si>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</si>
  <si>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</si>
  <si>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</si>
  <si>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</si>
  <si>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</si>
  <si>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</si>
  <si>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</si>
  <si>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</si>
  <si>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</si>
  <si>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</si>
  <si>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</si>
  <si>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</si>
  <si>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</si>
  <si>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</si>
  <si>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</si>
  <si>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</si>
  <si>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</si>
  <si>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</si>
  <si>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</si>
  <si>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</si>
  <si>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</si>
  <si>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</si>
  <si>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</si>
  <si>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</si>
  <si>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</si>
  <si>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</si>
  <si>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</si>
  <si>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</si>
  <si>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</si>
  <si>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</si>
  <si>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</si>
  <si>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</si>
  <si>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</si>
  <si>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</si>
  <si>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</si>
  <si>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</si>
  <si>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</si>
  <si>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</si>
  <si>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</si>
  <si>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</si>
  <si>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</si>
  <si>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</si>
  <si>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</si>
  <si>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</si>
  <si>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</si>
  <si>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</si>
  <si>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</si>
  <si>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</si>
  <si>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</si>
  <si>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</si>
  <si>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</si>
  <si>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</si>
  <si>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</si>
  <si>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</si>
  <si>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</si>
  <si>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</si>
  <si>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</si>
  <si>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</si>
  <si>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</si>
  <si>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</si>
  <si>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</si>
  <si>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</si>
  <si>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</si>
  <si>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</si>
  <si>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</si>
  <si>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</si>
  <si>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</si>
  <si>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</si>
  <si>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</si>
  <si>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</si>
  <si>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</si>
  <si>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</si>
  <si>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</si>
  <si>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</si>
  <si>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</si>
  <si>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</si>
  <si>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</si>
  <si>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</si>
  <si>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</si>
  <si>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</si>
  <si>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</si>
  <si>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</si>
  <si>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</si>
  <si>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</si>
  <si>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</si>
  <si>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</si>
  <si>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</si>
  <si>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</si>
  <si>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</si>
  <si>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</si>
  <si>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</si>
  <si>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</si>
  <si>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</si>
  <si>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</si>
  <si>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</si>
  <si>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</si>
  <si>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</si>
  <si>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</si>
  <si>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</si>
  <si>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</si>
  <si>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</si>
  <si>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</si>
  <si>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</si>
  <si>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</si>
  <si>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</si>
  <si>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</si>
  <si>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</si>
  <si>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</si>
  <si>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</si>
  <si>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</si>
  <si>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</si>
  <si>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</si>
  <si>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</si>
  <si>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</si>
  <si>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</si>
  <si>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</si>
  <si>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</si>
  <si>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</si>
  <si>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</si>
  <si>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</si>
  <si>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</si>
  <si>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</si>
  <si>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</si>
  <si>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</si>
  <si>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</si>
  <si>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</si>
  <si>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</si>
  <si>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</si>
  <si>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</si>
  <si>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</si>
  <si>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</si>
  <si>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</si>
  <si>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</si>
  <si>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</si>
  <si>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</si>
  <si>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</si>
  <si>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</si>
  <si>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</si>
  <si>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</si>
  <si>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</si>
  <si>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</si>
  <si>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</si>
  <si>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</si>
  <si>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</si>
  <si>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</si>
  <si>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</si>
  <si>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</si>
  <si>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</si>
  <si>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</si>
  <si>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</si>
  <si>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</si>
  <si>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</si>
  <si>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</si>
  <si>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</si>
  <si>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</si>
  <si>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</si>
  <si>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</si>
  <si>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</si>
  <si>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</si>
  <si>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</si>
  <si>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</si>
  <si>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</si>
  <si>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</si>
  <si>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</si>
  <si>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</si>
  <si>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</si>
  <si>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</si>
  <si>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</si>
  <si>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</si>
  <si>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</si>
  <si>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</si>
  <si>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</si>
  <si>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</si>
  <si>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</si>
  <si>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</si>
  <si>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</si>
  <si>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</si>
  <si>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</si>
  <si>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</si>
  <si>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</si>
  <si>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</si>
  <si>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</si>
  <si>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</si>
  <si>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</si>
  <si>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</si>
  <si>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</si>
  <si>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</si>
  <si>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</si>
  <si>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</si>
  <si>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</si>
  <si>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</si>
  <si>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</si>
  <si>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</si>
  <si>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</si>
  <si>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</si>
  <si>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</si>
  <si>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</si>
  <si>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</si>
  <si>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</si>
  <si>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</si>
  <si>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</si>
  <si>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</si>
  <si>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</si>
  <si>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</si>
  <si>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</si>
  <si>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</si>
  <si>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</si>
  <si>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</si>
  <si>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</si>
  <si>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</si>
  <si>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</si>
  <si>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</si>
  <si>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</si>
  <si>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</si>
  <si>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</si>
  <si>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</si>
  <si>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</si>
  <si>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</si>
  <si>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</si>
  <si>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</si>
  <si>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</si>
  <si>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</si>
  <si>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</si>
  <si>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</si>
  <si>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</si>
  <si>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</si>
  <si>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</si>
  <si>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</si>
  <si>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</si>
  <si>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</si>
  <si>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</si>
  <si>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</si>
  <si>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</si>
  <si>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</si>
  <si>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</si>
  <si>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</si>
  <si>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</si>
  <si>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</si>
  <si>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</si>
  <si>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</si>
  <si>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</si>
  <si>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</si>
  <si>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</si>
  <si>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</si>
  <si>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</si>
  <si>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</si>
  <si>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</si>
  <si>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</si>
  <si>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</si>
  <si>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</si>
  <si>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</si>
  <si>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</si>
  <si>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</si>
  <si>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</si>
  <si>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</si>
  <si>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</si>
  <si>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</si>
  <si>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</si>
  <si>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</si>
  <si>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</si>
  <si>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</si>
  <si>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</si>
  <si>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</si>
  <si>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</si>
  <si>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</si>
  <si>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</si>
  <si>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</si>
  <si>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</si>
  <si>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</si>
  <si>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</si>
  <si>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</si>
  <si>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</si>
  <si>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</si>
  <si>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</si>
  <si>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</si>
  <si>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</si>
  <si>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</si>
  <si>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</si>
  <si>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</si>
  <si>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</si>
  <si>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</si>
  <si>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</si>
  <si>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</si>
  <si>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</si>
  <si>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</si>
  <si>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</si>
  <si>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</si>
  <si>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</si>
  <si>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</si>
  <si>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</si>
  <si>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</si>
  <si>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</si>
  <si>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</si>
  <si>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</si>
  <si>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</si>
  <si>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</si>
  <si>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</si>
  <si>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</si>
  <si>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</si>
  <si>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</si>
  <si>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</si>
  <si>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</si>
  <si>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</si>
  <si>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</si>
  <si>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</si>
  <si>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</si>
  <si>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</si>
  <si>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</si>
  <si>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</si>
  <si>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</si>
  <si>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</si>
  <si>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</si>
  <si>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</si>
  <si>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</si>
  <si>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</si>
  <si>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</si>
  <si>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</si>
  <si>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</si>
  <si>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</si>
  <si>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</si>
  <si>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</si>
  <si>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</si>
  <si>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</si>
  <si>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</si>
  <si>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</si>
  <si>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</si>
  <si>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</si>
  <si>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</si>
  <si>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</si>
  <si>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</si>
  <si>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</si>
  <si>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</si>
  <si>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</si>
  <si>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</si>
  <si>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</si>
  <si>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</si>
  <si>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</si>
  <si>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</si>
  <si>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</si>
  <si>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</si>
  <si>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</si>
  <si>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</si>
  <si>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</si>
  <si>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</si>
  <si>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</si>
  <si>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</si>
  <si>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</si>
  <si>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</si>
  <si>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</si>
  <si>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</si>
  <si>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</si>
  <si>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</si>
  <si>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</si>
  <si>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</si>
  <si>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</si>
  <si>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</si>
  <si>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</si>
  <si>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</si>
  <si>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</si>
  <si>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</si>
  <si>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</si>
  <si>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</si>
  <si>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</si>
  <si>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</si>
  <si>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</si>
  <si>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</si>
  <si>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</si>
  <si>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</si>
  <si>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</si>
  <si>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</si>
  <si>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</si>
  <si>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</si>
  <si>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</si>
  <si>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</si>
  <si>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</si>
  <si>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</si>
  <si>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</si>
  <si>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</si>
  <si>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</si>
  <si>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</si>
  <si>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</si>
  <si>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</si>
  <si>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</si>
  <si>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</si>
  <si>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</si>
  <si>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</si>
  <si>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</si>
  <si>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</si>
  <si>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</si>
  <si>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</si>
  <si>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</si>
  <si>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</si>
  <si>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</si>
  <si>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</si>
  <si>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</si>
  <si>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</si>
  <si>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</si>
  <si>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</si>
  <si>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</si>
  <si>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</si>
  <si>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</si>
  <si>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</si>
  <si>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</si>
  <si>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</si>
  <si>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</si>
  <si>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</si>
  <si>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</si>
  <si>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</si>
  <si>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</si>
  <si>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</si>
  <si>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</si>
  <si>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</si>
  <si>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</si>
  <si>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</si>
  <si>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</si>
  <si>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</si>
  <si>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</si>
  <si>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</si>
  <si>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</si>
  <si>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</si>
  <si>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</si>
  <si>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</si>
  <si>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</si>
  <si>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</si>
  <si>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</si>
  <si>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</si>
  <si>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</si>
  <si>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</si>
  <si>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</si>
  <si>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</si>
  <si>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</si>
  <si>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</si>
  <si>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</si>
  <si>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</si>
  <si>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</si>
  <si>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</si>
  <si>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</si>
  <si>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</si>
  <si>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</si>
  <si>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</si>
  <si>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</si>
  <si>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</si>
  <si>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</si>
  <si>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</si>
  <si>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</si>
  <si>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</si>
  <si>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</si>
  <si>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</si>
  <si>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</si>
  <si>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</si>
  <si>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</si>
  <si>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</si>
  <si>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</si>
  <si>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</si>
  <si>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</si>
  <si>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</si>
  <si>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</si>
  <si>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</si>
  <si>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</si>
  <si>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</si>
  <si>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</si>
  <si>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</si>
  <si>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</si>
  <si>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</si>
  <si>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</si>
  <si>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</si>
  <si>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</si>
  <si>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</si>
  <si>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</si>
  <si>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</si>
  <si>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</si>
  <si>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</si>
  <si>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</si>
  <si>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</si>
  <si>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</si>
  <si>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</si>
  <si>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</si>
  <si>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</si>
  <si>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</si>
  <si>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</si>
  <si>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</si>
  <si>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</si>
  <si>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</si>
  <si>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</si>
  <si>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</si>
  <si>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</si>
  <si>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</si>
  <si>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</si>
  <si>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</si>
  <si>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</si>
  <si>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</si>
  <si>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</si>
  <si>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</si>
  <si>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</si>
  <si>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</si>
  <si>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</si>
  <si>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</si>
  <si>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</si>
  <si>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</si>
  <si>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</si>
  <si>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</si>
  <si>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</si>
  <si>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</si>
  <si>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</si>
  <si>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</si>
  <si>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</si>
  <si>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</si>
  <si>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</si>
  <si>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</si>
  <si>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</si>
  <si>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</si>
  <si>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</si>
  <si>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</si>
  <si>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</si>
  <si>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</si>
  <si>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</si>
  <si>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</si>
  <si>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</si>
  <si>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</si>
  <si>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</si>
  <si>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</si>
  <si>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</si>
  <si>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</si>
  <si>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</si>
  <si>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</si>
  <si>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</si>
  <si>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</si>
  <si>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</si>
  <si>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</si>
  <si>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</si>
  <si>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</si>
  <si>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</si>
  <si>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</si>
  <si>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</si>
  <si>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</si>
  <si>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</si>
  <si>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</si>
  <si>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</si>
  <si>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</si>
  <si>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</si>
  <si>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</si>
  <si>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</si>
  <si>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</si>
  <si>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</si>
  <si>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</si>
  <si>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</si>
  <si>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</si>
  <si>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</si>
  <si>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</si>
  <si>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</si>
  <si>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</si>
  <si>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</si>
  <si>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</si>
  <si>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</si>
  <si>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</si>
  <si>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</si>
  <si>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</si>
  <si>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</si>
  <si>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</si>
  <si>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</si>
  <si>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</si>
  <si>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</si>
  <si>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</si>
  <si>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</si>
  <si>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</si>
  <si>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</si>
  <si>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</si>
  <si>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</si>
  <si>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</si>
  <si>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</si>
  <si>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</si>
  <si>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</si>
  <si>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</si>
  <si>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</si>
  <si>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</si>
  <si>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</si>
  <si>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</si>
  <si>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</si>
  <si>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</si>
  <si>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</si>
  <si>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</si>
  <si>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</si>
  <si>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</si>
  <si>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</si>
  <si>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</si>
  <si>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</si>
  <si>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</si>
  <si>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</si>
  <si>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</si>
  <si>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</si>
  <si>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</si>
  <si>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</si>
  <si>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</si>
  <si>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</si>
  <si>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</si>
  <si>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</si>
  <si>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</si>
  <si>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</si>
  <si>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</si>
  <si>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</si>
  <si>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</si>
  <si>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</si>
  <si>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</si>
  <si>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</si>
  <si>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</si>
  <si>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</si>
  <si>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</si>
  <si>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</si>
  <si>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</si>
  <si>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</si>
  <si>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</si>
  <si>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</si>
  <si>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</si>
  <si>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</si>
  <si>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</si>
  <si>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</si>
  <si>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</si>
  <si>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</si>
  <si>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</si>
  <si>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</si>
  <si>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</si>
  <si>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</si>
  <si>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</si>
  <si>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</si>
  <si>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</si>
  <si>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</si>
  <si>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</si>
  <si>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</si>
  <si>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</si>
  <si>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</si>
  <si>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</si>
  <si>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</si>
  <si>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</si>
  <si>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</si>
  <si>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</si>
  <si>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</si>
  <si>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</si>
  <si>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</si>
  <si>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</si>
  <si>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</si>
  <si>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</si>
  <si>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</si>
  <si>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</si>
  <si>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</si>
  <si>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</si>
  <si>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</si>
  <si>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</si>
  <si>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</si>
  <si>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</si>
  <si>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</si>
  <si>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</si>
  <si>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</si>
  <si>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</si>
  <si>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</si>
  <si>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</si>
  <si>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</si>
  <si>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</si>
  <si>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</si>
  <si>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</si>
  <si>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</si>
  <si>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</si>
  <si>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</si>
  <si>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</si>
  <si>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</si>
  <si>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</si>
  <si>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</si>
  <si>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</si>
  <si>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</si>
  <si>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</si>
  <si>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</si>
  <si>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</si>
  <si>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</si>
  <si>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</si>
  <si>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</si>
  <si>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</si>
  <si>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</si>
  <si>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</si>
  <si>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</si>
  <si>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</si>
  <si>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</si>
  <si>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</si>
  <si>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</si>
  <si>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</si>
  <si>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</si>
  <si>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</si>
  <si>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</si>
  <si>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</si>
  <si>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</si>
  <si>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</si>
  <si>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</si>
  <si>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</si>
  <si>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</si>
  <si>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</si>
  <si>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</si>
  <si>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</si>
  <si>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</si>
  <si>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</si>
  <si>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</si>
  <si>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</si>
  <si>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</si>
  <si>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</si>
  <si>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</si>
  <si>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</si>
  <si>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</si>
  <si>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</si>
  <si>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</si>
  <si>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</si>
  <si>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</si>
  <si>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</si>
  <si>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</si>
  <si>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</si>
  <si>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</si>
  <si>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</si>
  <si>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</si>
  <si>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</si>
  <si>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</si>
  <si>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</si>
  <si>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</si>
  <si>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</si>
  <si>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</si>
  <si>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</si>
  <si>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</si>
  <si>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</si>
  <si>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</si>
  <si>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</si>
  <si>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</si>
  <si>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</si>
  <si>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</si>
  <si>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</si>
  <si>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</si>
  <si>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</si>
  <si>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</si>
  <si>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</si>
  <si>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</si>
  <si>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</si>
  <si>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</si>
  <si>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</si>
  <si>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</si>
  <si>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</si>
  <si>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</si>
  <si>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</si>
  <si>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</si>
  <si>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</si>
  <si>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</si>
  <si>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</si>
  <si>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</si>
  <si>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</si>
  <si>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</si>
  <si>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</si>
  <si>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</si>
  <si>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</si>
  <si>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</si>
  <si>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</si>
  <si>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</si>
  <si>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</si>
  <si>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</si>
  <si>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</si>
  <si>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</si>
  <si>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</si>
  <si>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</si>
  <si>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</si>
  <si>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</si>
  <si>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</si>
  <si>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</si>
  <si>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</si>
  <si>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</si>
  <si>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</si>
  <si>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</si>
  <si>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</si>
  <si>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</si>
  <si>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</si>
  <si>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</si>
  <si>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</si>
  <si>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</si>
  <si>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</si>
  <si>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</si>
  <si>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</si>
  <si>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</si>
  <si>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</si>
  <si>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</si>
  <si>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</si>
  <si>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</si>
  <si>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</si>
  <si>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</si>
  <si>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</si>
  <si>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</si>
  <si>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</si>
  <si>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</si>
  <si>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</si>
  <si>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</si>
  <si>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</si>
  <si>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</si>
  <si>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</si>
  <si>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</si>
  <si>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</si>
  <si>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</si>
  <si>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</si>
  <si>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</si>
  <si>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</si>
  <si>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</si>
  <si>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</si>
  <si>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</si>
  <si>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</si>
  <si>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</si>
  <si>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</si>
  <si>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</si>
  <si>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</si>
  <si>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</si>
  <si>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</si>
  <si>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</si>
  <si>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</si>
  <si>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</si>
  <si>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</si>
  <si>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</si>
  <si>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</si>
  <si>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</si>
  <si>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</si>
  <si>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</si>
  <si>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</si>
  <si>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</si>
  <si>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</si>
  <si>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</si>
  <si>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</si>
  <si>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</si>
  <si>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</si>
  <si>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</si>
  <si>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</si>
  <si>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</si>
  <si>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</si>
  <si>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</si>
  <si>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</si>
  <si>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</si>
  <si>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</si>
  <si>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</si>
  <si>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</si>
  <si>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</si>
  <si>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</si>
  <si>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</si>
  <si>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</si>
  <si>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</si>
  <si>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</si>
  <si>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</si>
  <si>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</si>
  <si>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</si>
  <si>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</si>
  <si>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</si>
  <si>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</si>
  <si>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</si>
  <si>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</si>
  <si>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</si>
  <si>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</si>
  <si>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</si>
  <si>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</si>
  <si>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</si>
  <si>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</si>
  <si>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</si>
  <si>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</si>
  <si>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</si>
  <si>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</si>
  <si>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</si>
  <si>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</si>
  <si>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</si>
  <si>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</si>
  <si>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</si>
  <si>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</si>
  <si>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</si>
  <si>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</si>
  <si>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</si>
  <si>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</si>
  <si>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</si>
  <si>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</si>
  <si>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</si>
  <si>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</si>
  <si>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</si>
  <si>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</si>
  <si>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</si>
  <si>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</si>
  <si>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</si>
  <si>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</si>
  <si>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</si>
  <si>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</si>
  <si>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</si>
  <si>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</si>
  <si>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</si>
  <si>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</si>
  <si>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</si>
  <si>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</si>
  <si>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</si>
  <si>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</si>
  <si>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</si>
  <si>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</si>
  <si>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</si>
  <si>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</si>
  <si>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</si>
  <si>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</si>
  <si>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</si>
  <si>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</si>
  <si>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</si>
  <si>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</si>
  <si>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</si>
  <si>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</si>
  <si>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</si>
  <si>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</si>
  <si>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</si>
  <si>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</si>
  <si>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</si>
  <si>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</si>
  <si>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</si>
  <si>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</si>
  <si>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</si>
  <si>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</si>
  <si>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</si>
  <si>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</si>
  <si>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</si>
  <si>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</si>
  <si>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</si>
  <si>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</si>
  <si>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</si>
  <si>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</si>
  <si>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</si>
  <si>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</si>
  <si>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</si>
  <si>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</si>
  <si>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</si>
  <si>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</si>
  <si>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</si>
  <si>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</si>
  <si>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</si>
  <si>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</si>
  <si>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</si>
  <si>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</si>
  <si>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</si>
  <si>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</si>
  <si>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</si>
  <si>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</si>
  <si>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</si>
  <si>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</si>
  <si>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</si>
  <si>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</si>
  <si>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</si>
  <si>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</si>
  <si>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</si>
  <si>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</si>
  <si>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</si>
  <si>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</si>
  <si>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</si>
  <si>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</si>
  <si>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</si>
  <si>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</si>
  <si>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</si>
  <si>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</si>
  <si>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</si>
  <si>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</si>
  <si>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</si>
  <si>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</si>
  <si>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</si>
  <si>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</si>
  <si>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</si>
  <si>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</si>
  <si>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</si>
  <si>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</si>
  <si>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</si>
  <si>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</si>
  <si>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</si>
  <si>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</si>
  <si>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</si>
  <si>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</si>
  <si>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</si>
  <si>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</si>
  <si>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</si>
  <si>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</si>
  <si>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</si>
  <si>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</si>
  <si>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</si>
  <si>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</si>
  <si>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</si>
  <si>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</si>
  <si>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</si>
  <si>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</si>
  <si>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</si>
  <si>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</si>
  <si>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</si>
  <si>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</si>
  <si>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</si>
  <si>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</si>
  <si>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</si>
  <si>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</si>
  <si>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</si>
  <si>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</si>
  <si>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</si>
  <si>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</si>
  <si>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</si>
  <si>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</si>
  <si>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</si>
  <si>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</si>
  <si>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</si>
  <si>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</si>
  <si>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</si>
  <si>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</si>
  <si>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</si>
  <si>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</si>
  <si>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</si>
  <si>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</si>
  <si>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</si>
  <si>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</si>
  <si>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</si>
  <si>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</si>
  <si>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</si>
  <si>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</si>
  <si>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</si>
  <si>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</si>
  <si>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</si>
  <si>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</si>
  <si>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</si>
  <si>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</si>
  <si>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</si>
  <si>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</si>
  <si>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</si>
  <si>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</si>
  <si>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</si>
  <si>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</si>
  <si>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</si>
  <si>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</si>
  <si>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</si>
  <si>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</si>
  <si>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</si>
  <si>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</si>
  <si>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</si>
  <si>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</si>
  <si>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</si>
  <si>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</si>
  <si>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</si>
  <si>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</si>
  <si>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</si>
  <si>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</si>
  <si>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</si>
  <si>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</si>
  <si>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</si>
  <si>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</si>
  <si>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</si>
  <si>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</si>
  <si>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</si>
  <si>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</si>
  <si>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</si>
  <si>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</si>
  <si>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</si>
  <si>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</si>
  <si>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</si>
  <si>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</si>
  <si>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</si>
  <si>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</si>
  <si>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</si>
  <si>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</si>
  <si>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</si>
  <si>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</si>
  <si>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</si>
  <si>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</si>
  <si>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</si>
  <si>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</si>
  <si>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</si>
  <si>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</si>
  <si>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</si>
  <si>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</si>
  <si>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</si>
  <si>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</si>
  <si>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</si>
  <si>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</si>
  <si>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</si>
  <si>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</si>
  <si>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</si>
  <si>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</si>
  <si>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</si>
  <si>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</si>
  <si>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</si>
  <si>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</si>
  <si>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</si>
  <si>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</si>
  <si>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</si>
  <si>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</si>
  <si>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</si>
  <si>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</si>
  <si>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</si>
  <si>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</si>
  <si>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</si>
  <si>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</si>
  <si>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</si>
  <si>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</si>
  <si>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</si>
  <si>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</si>
  <si>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</si>
  <si>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</si>
  <si>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</si>
  <si>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</si>
  <si>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</si>
  <si>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</si>
  <si>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</si>
  <si>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</si>
  <si>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</si>
  <si>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</si>
  <si>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</si>
  <si>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</si>
  <si>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</si>
  <si>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</si>
  <si>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</si>
  <si>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</si>
  <si>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</si>
  <si>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</si>
  <si>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</si>
  <si>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</si>
  <si>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</si>
  <si>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</si>
  <si>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</si>
  <si>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</si>
  <si>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</si>
  <si>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</si>
  <si>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</si>
  <si>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</si>
  <si>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</si>
  <si>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</si>
  <si>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</si>
  <si>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</si>
  <si>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</si>
  <si>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</si>
  <si>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</si>
  <si>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</si>
  <si>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</si>
  <si>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</si>
  <si>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</si>
  <si>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</si>
  <si>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</si>
  <si>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</si>
  <si>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</si>
  <si>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</si>
  <si>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</si>
  <si>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</si>
  <si>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</si>
  <si>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</si>
  <si>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</si>
  <si>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</si>
  <si>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</si>
  <si>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</si>
  <si>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</si>
  <si>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</si>
  <si>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</si>
  <si>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</si>
  <si>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</si>
  <si>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</si>
  <si>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</si>
  <si>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</si>
  <si>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</si>
  <si>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</si>
  <si>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</si>
  <si>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</si>
  <si>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</si>
  <si>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</si>
  <si>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</si>
  <si>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</si>
  <si>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</si>
  <si>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</si>
  <si>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</si>
  <si>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</si>
  <si>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</si>
  <si>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</si>
  <si>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</si>
  <si>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</si>
  <si>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</si>
  <si>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</si>
  <si>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</si>
  <si>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</si>
  <si>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</si>
  <si>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</si>
  <si>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</si>
  <si>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</si>
  <si>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</si>
  <si>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</si>
  <si>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</si>
  <si>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</si>
  <si>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</si>
  <si>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</si>
  <si>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</si>
  <si>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</si>
  <si>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</si>
  <si>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</si>
  <si>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</si>
  <si>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</si>
  <si>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</si>
  <si>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</si>
  <si>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</si>
  <si>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</si>
  <si>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</si>
  <si>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</si>
  <si>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</si>
  <si>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</si>
  <si>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</si>
  <si>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</si>
  <si>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</si>
  <si>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</si>
  <si>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</si>
  <si>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</si>
  <si>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</si>
  <si>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</si>
  <si>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</si>
  <si>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</si>
  <si>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</si>
  <si>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</si>
  <si>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</si>
  <si>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</si>
  <si>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</si>
  <si>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</si>
  <si>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</si>
  <si>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</si>
  <si>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</si>
  <si>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</si>
  <si>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</si>
  <si>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</si>
  <si>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</si>
  <si>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</si>
  <si>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</si>
  <si>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</si>
  <si>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</si>
  <si>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</si>
  <si>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</si>
  <si>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</si>
  <si>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</si>
  <si>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</si>
  <si>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</si>
  <si>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</si>
  <si>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</si>
  <si>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</si>
  <si>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</si>
  <si>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</si>
  <si>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</si>
  <si>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</si>
  <si>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</si>
  <si>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</si>
  <si>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</si>
  <si>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</si>
  <si>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</si>
  <si>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</si>
  <si>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</si>
  <si>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</si>
  <si>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</si>
  <si>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</si>
  <si>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</si>
  <si>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</si>
  <si>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</si>
  <si>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</si>
  <si>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</si>
  <si>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</si>
  <si>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</si>
  <si>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</si>
  <si>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</si>
  <si>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</si>
  <si>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</si>
  <si>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</si>
  <si>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</si>
  <si>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</si>
  <si>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</si>
  <si>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</si>
  <si>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</si>
  <si>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</si>
  <si>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</si>
  <si>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</si>
  <si>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</si>
  <si>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</si>
  <si>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</si>
  <si>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</si>
  <si>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</si>
  <si>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</si>
  <si>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</si>
  <si>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</si>
  <si>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</si>
  <si>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</si>
  <si>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</si>
  <si>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</si>
  <si>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</si>
  <si>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</si>
  <si>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</si>
  <si>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</si>
  <si>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</si>
  <si>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</si>
  <si>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</si>
  <si>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</si>
  <si>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</si>
  <si>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</si>
  <si>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</si>
  <si>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</si>
  <si>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</si>
  <si>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</si>
  <si>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</si>
  <si>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</si>
  <si>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</si>
  <si>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</si>
  <si>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</si>
  <si>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</si>
  <si>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</si>
  <si>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</si>
  <si>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</si>
  <si>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</si>
  <si>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</si>
  <si>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</si>
  <si>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</si>
  <si>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</si>
  <si>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</si>
  <si>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</si>
  <si>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</si>
  <si>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</si>
  <si>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</si>
  <si>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</si>
  <si>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</si>
  <si>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</si>
  <si>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</si>
  <si>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</si>
  <si>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</si>
  <si>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</si>
  <si>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</si>
  <si>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</si>
  <si>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</si>
  <si>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</si>
  <si>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</si>
  <si>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</si>
  <si>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</si>
  <si>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</si>
  <si>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</si>
  <si>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</si>
  <si>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</si>
  <si>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</si>
  <si>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</si>
  <si>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</si>
  <si>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</si>
  <si>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</si>
  <si>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</si>
  <si>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</si>
  <si>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</si>
  <si>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</si>
  <si>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</si>
  <si>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</si>
  <si>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</si>
  <si>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</si>
  <si>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</si>
  <si>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</si>
  <si>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</si>
  <si>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</si>
  <si>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</si>
  <si>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</si>
  <si>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</si>
  <si>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</si>
  <si>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</si>
  <si>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</si>
  <si>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</si>
  <si>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</si>
  <si>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</si>
  <si>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</si>
  <si>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</si>
  <si>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</si>
  <si>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</si>
  <si>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</si>
  <si>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</si>
  <si>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</si>
  <si>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</si>
  <si>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</si>
  <si>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</si>
  <si>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</si>
  <si>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</si>
  <si>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</si>
  <si>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</si>
  <si>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</si>
  <si>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</si>
  <si>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</si>
  <si>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</si>
  <si>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</si>
  <si>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</si>
  <si>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</si>
  <si>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</si>
  <si>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</si>
  <si>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</si>
  <si>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</si>
  <si>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</si>
  <si>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</si>
  <si>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</si>
  <si>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</si>
  <si>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</si>
  <si>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</si>
  <si>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</si>
  <si>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</si>
  <si>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</si>
  <si>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</si>
  <si>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</si>
  <si>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</si>
  <si>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</si>
  <si>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</si>
  <si>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</si>
  <si>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</si>
  <si>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</si>
  <si>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</si>
  <si>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</si>
  <si>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</si>
  <si>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</si>
  <si>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</si>
  <si>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</si>
  <si>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</si>
  <si>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</si>
  <si>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</si>
  <si>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</si>
  <si>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</si>
  <si>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</si>
  <si>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</si>
  <si>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</si>
  <si>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</si>
  <si>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</si>
  <si>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</si>
  <si>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</si>
  <si>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</si>
  <si>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</si>
  <si>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</si>
  <si>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</si>
  <si>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</si>
  <si>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</si>
  <si>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</si>
  <si>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</si>
  <si>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</si>
  <si>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</si>
  <si>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</si>
  <si>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</si>
  <si>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</si>
  <si>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</si>
  <si>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</si>
  <si>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</si>
  <si>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</si>
  <si>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</si>
  <si>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</si>
  <si>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</si>
  <si>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</si>
  <si>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</si>
  <si>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</si>
  <si>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</si>
  <si>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</si>
  <si>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</si>
  <si>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</si>
  <si>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</si>
  <si>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</si>
  <si>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</si>
  <si>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</si>
  <si>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</si>
  <si>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</si>
  <si>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</si>
  <si>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</si>
  <si>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</si>
  <si>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</si>
  <si>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</si>
  <si>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</si>
  <si>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</si>
  <si>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</si>
  <si>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</si>
  <si>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</si>
  <si>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</si>
  <si>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</si>
  <si>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</si>
  <si>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</si>
  <si>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</si>
  <si>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</si>
  <si>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</si>
  <si>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</si>
  <si>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</si>
  <si>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</si>
  <si>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</si>
  <si>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</si>
  <si>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</si>
  <si>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</si>
  <si>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</si>
  <si>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</si>
  <si>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</si>
  <si>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</si>
  <si>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</si>
  <si>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</si>
  <si>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</si>
  <si>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</si>
  <si>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</si>
  <si>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</si>
  <si>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</si>
  <si>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</si>
  <si>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</si>
  <si>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</si>
  <si>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</si>
  <si>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</si>
  <si>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</si>
  <si>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</si>
  <si>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</si>
  <si>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</si>
  <si>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</si>
  <si>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</si>
  <si>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</si>
  <si>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</si>
  <si>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</si>
  <si>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</si>
  <si>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</si>
  <si>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</si>
  <si>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</si>
  <si>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</si>
  <si>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</si>
  <si>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</si>
  <si>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</si>
  <si>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</si>
  <si>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</si>
  <si>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</si>
  <si>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</si>
  <si>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</si>
  <si>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</si>
  <si>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</si>
  <si>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</si>
  <si>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</si>
  <si>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</si>
  <si>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</si>
  <si>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</si>
  <si>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</si>
  <si>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</si>
  <si>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</si>
  <si>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</si>
  <si>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</si>
  <si>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</si>
  <si>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</si>
  <si>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</si>
  <si>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</si>
  <si>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</si>
  <si>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</si>
  <si>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</si>
  <si>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</si>
  <si>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</si>
  <si>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</si>
  <si>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</si>
  <si>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</si>
  <si>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</si>
  <si>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</si>
  <si>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</si>
  <si>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</si>
  <si>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</si>
  <si>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</si>
  <si>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</si>
  <si>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</si>
  <si>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</si>
  <si>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</si>
  <si>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</si>
  <si>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</si>
  <si>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</si>
  <si>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</si>
  <si>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</si>
  <si>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</si>
  <si>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</si>
  <si>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</si>
  <si>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</si>
  <si>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</si>
  <si>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</si>
  <si>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</si>
  <si>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</si>
  <si>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</si>
  <si>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</si>
  <si>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</si>
  <si>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</si>
  <si>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</si>
  <si>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</si>
  <si>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</si>
  <si>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</si>
  <si>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</si>
  <si>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</si>
  <si>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</si>
  <si>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</si>
  <si>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</si>
  <si>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</si>
  <si>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</si>
  <si>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</si>
  <si>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</si>
  <si>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</si>
  <si>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</si>
  <si>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</si>
  <si>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</si>
  <si>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</si>
  <si>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</si>
  <si>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</si>
  <si>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</si>
  <si>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</si>
  <si>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</si>
  <si>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</si>
  <si>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</si>
  <si>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</si>
  <si>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</si>
  <si>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</si>
  <si>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</si>
  <si>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</si>
  <si>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</si>
  <si>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</si>
  <si>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</si>
  <si>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</si>
  <si>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</si>
  <si>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</si>
  <si>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</si>
  <si>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</si>
  <si>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</si>
  <si>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</si>
  <si>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</si>
  <si>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</si>
  <si>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</si>
  <si>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</si>
  <si>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</si>
  <si>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</si>
  <si>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</si>
  <si>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</si>
  <si>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</si>
  <si>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</si>
  <si>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</si>
  <si>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</si>
  <si>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</si>
  <si>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</si>
  <si>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</si>
  <si>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</si>
  <si>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</si>
  <si>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</si>
  <si>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</si>
  <si>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</si>
  <si>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</si>
  <si>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</si>
  <si>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</si>
  <si>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</si>
  <si>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</si>
  <si>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</si>
  <si>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</si>
  <si>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</si>
  <si>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</si>
  <si>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</si>
  <si>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</si>
  <si>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</si>
  <si>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</si>
  <si>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</si>
  <si>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</si>
  <si>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</si>
  <si>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</si>
  <si>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</si>
  <si>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</si>
  <si>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</si>
  <si>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</si>
  <si>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</si>
  <si>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</si>
  <si>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</si>
  <si>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</si>
  <si>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</si>
  <si>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</si>
  <si>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</si>
  <si>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</si>
  <si>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</si>
  <si>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</si>
  <si>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</si>
  <si>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</si>
  <si>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</si>
  <si>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</si>
  <si>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</si>
  <si>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</si>
  <si>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</si>
  <si>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</si>
  <si>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</si>
  <si>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</si>
  <si>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</si>
  <si>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</si>
  <si>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</si>
  <si>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</si>
  <si>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</si>
  <si>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</si>
  <si>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</si>
  <si>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</si>
  <si>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</si>
  <si>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</si>
  <si>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</si>
  <si>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</si>
  <si>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</si>
  <si>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</si>
  <si>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</si>
  <si>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</si>
  <si>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</si>
  <si>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</si>
  <si>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</si>
  <si>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</si>
  <si>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</si>
  <si>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</si>
  <si>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</si>
  <si>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</si>
  <si>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</si>
  <si>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</si>
  <si>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</si>
  <si>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</si>
  <si>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</si>
  <si>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</si>
  <si>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</si>
  <si>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</si>
  <si>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</si>
  <si>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</si>
  <si>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</si>
  <si>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</si>
  <si>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</si>
  <si>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</si>
  <si>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</si>
  <si>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</si>
  <si>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</si>
  <si>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</si>
  <si>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</si>
  <si>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</si>
  <si>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</si>
  <si>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</si>
  <si>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</si>
  <si>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</si>
  <si>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</si>
  <si>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</si>
  <si>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</si>
  <si>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</si>
  <si>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</si>
  <si>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</si>
  <si>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</si>
  <si>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</si>
  <si>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</si>
  <si>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</si>
  <si>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</si>
  <si>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</si>
  <si>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</si>
  <si>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</si>
  <si>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</si>
  <si>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</si>
  <si>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</si>
  <si>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</si>
  <si>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</si>
  <si>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</si>
  <si>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</si>
  <si>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</si>
  <si>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</si>
  <si>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</si>
  <si>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</si>
  <si>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</si>
  <si>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</si>
  <si>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</si>
  <si>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</si>
  <si>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</si>
  <si>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</si>
  <si>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</si>
  <si>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</si>
  <si>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</si>
  <si>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</si>
  <si>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</si>
  <si>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</si>
  <si>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</si>
  <si>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</si>
  <si>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</si>
  <si>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</si>
  <si>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</si>
  <si>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</si>
  <si>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</si>
  <si>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</si>
  <si>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</si>
  <si>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</si>
  <si>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</si>
  <si>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</si>
  <si>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</si>
  <si>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</si>
  <si>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</si>
  <si>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</si>
  <si>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</si>
  <si>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</si>
  <si>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</si>
  <si>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</si>
  <si>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</si>
  <si>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</si>
  <si>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</si>
  <si>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</si>
  <si>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</si>
  <si>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</si>
  <si>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</si>
  <si>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</si>
  <si>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</si>
  <si>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</si>
  <si>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</si>
  <si>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</si>
  <si>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</si>
  <si>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</si>
  <si>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</si>
  <si>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</si>
  <si>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</si>
  <si>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</si>
  <si>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</si>
  <si>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</si>
  <si>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</si>
  <si>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</si>
  <si>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</si>
  <si>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</si>
  <si>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</si>
  <si>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</si>
  <si>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</si>
  <si>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</si>
  <si>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</si>
  <si>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</si>
  <si>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</si>
  <si>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</si>
  <si>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</si>
  <si>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</si>
  <si>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</si>
  <si>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</si>
  <si>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</si>
  <si>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</si>
  <si>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</si>
  <si>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</si>
  <si>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</si>
  <si>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</si>
  <si>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</si>
  <si>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</si>
  <si>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</si>
  <si>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</si>
  <si>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</si>
  <si>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</si>
  <si>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</si>
  <si>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</si>
  <si>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</si>
  <si>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</si>
  <si>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</si>
  <si>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</si>
  <si>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</si>
  <si>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</si>
  <si>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</si>
  <si>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</si>
  <si>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</si>
  <si>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</si>
  <si>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</si>
  <si>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</si>
  <si>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</si>
  <si>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</si>
  <si>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</si>
  <si>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</si>
  <si>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</si>
  <si>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</si>
  <si>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</si>
  <si>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</si>
  <si>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</si>
  <si>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</si>
  <si>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</si>
  <si>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</si>
  <si>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</si>
  <si>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</si>
  <si>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</si>
  <si>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</si>
  <si>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</si>
  <si>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</si>
  <si>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</si>
  <si>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</si>
  <si>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</si>
  <si>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</si>
  <si>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</si>
  <si>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</si>
  <si>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</si>
  <si>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</si>
  <si>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</si>
  <si>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</si>
  <si>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</si>
  <si>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</si>
  <si>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</si>
  <si>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</si>
  <si>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</si>
  <si>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</si>
  <si>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</si>
  <si>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</si>
  <si>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</si>
  <si>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</si>
  <si>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</si>
  <si>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</si>
  <si>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</si>
  <si>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</si>
  <si>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</si>
  <si>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</si>
  <si>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</si>
  <si>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</si>
  <si>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</si>
  <si>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</si>
  <si>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</si>
  <si>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</si>
  <si>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</si>
  <si>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</si>
  <si>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</si>
  <si>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</si>
  <si>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</si>
  <si>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</si>
  <si>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</si>
  <si>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</si>
  <si>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</si>
  <si>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</si>
  <si>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</si>
  <si>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</si>
  <si>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</si>
  <si>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</si>
  <si>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</si>
  <si>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</si>
  <si>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</si>
  <si>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</si>
  <si>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</si>
  <si>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</si>
  <si>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</si>
  <si>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</si>
  <si>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</si>
  <si>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</si>
  <si>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</si>
  <si>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</si>
  <si>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</si>
  <si>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</si>
  <si>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</si>
  <si>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</si>
  <si>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</si>
  <si>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</si>
  <si>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</si>
  <si>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</si>
  <si>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</si>
  <si>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</si>
  <si>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</si>
  <si>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</si>
  <si>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</si>
  <si>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</si>
  <si>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</si>
  <si>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</si>
  <si>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</si>
  <si>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</si>
  <si>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</si>
  <si>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</si>
  <si>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</si>
  <si>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</si>
  <si>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</si>
  <si>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</si>
  <si>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</si>
  <si>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</si>
  <si>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</si>
  <si>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</si>
  <si>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</si>
  <si>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</si>
  <si>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</si>
  <si>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</si>
  <si>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</si>
  <si>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</si>
  <si>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</si>
  <si>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</si>
  <si>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</si>
  <si>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</si>
  <si>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</si>
  <si>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</si>
  <si>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</si>
  <si>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</si>
  <si>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</si>
  <si>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</si>
  <si>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</si>
  <si>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</si>
  <si>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</si>
  <si>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</si>
  <si>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</si>
  <si>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</si>
  <si>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</si>
  <si>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</si>
  <si>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</si>
  <si>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</si>
  <si>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</si>
  <si>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</si>
  <si>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</si>
  <si>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</si>
  <si>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</si>
  <si>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</si>
  <si>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</si>
  <si>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</si>
  <si>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</si>
  <si>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</si>
  <si>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</si>
  <si>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</si>
  <si>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</si>
  <si>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</si>
  <si>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</si>
  <si>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</si>
  <si>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</si>
  <si>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</si>
  <si>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</si>
  <si>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</si>
  <si>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</si>
  <si>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</si>
  <si>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</si>
  <si>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</si>
  <si>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</si>
  <si>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</si>
  <si>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</si>
  <si>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</si>
  <si>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</si>
  <si>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</si>
  <si>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</si>
  <si>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</si>
  <si>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</si>
  <si>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</si>
  <si>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</si>
  <si>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</si>
  <si>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</si>
  <si>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</si>
  <si>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</si>
  <si>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</si>
  <si>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</si>
  <si>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</si>
  <si>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</si>
  <si>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</si>
  <si>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</si>
  <si>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</si>
  <si>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</si>
  <si>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</si>
  <si>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</si>
  <si>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</si>
  <si>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</si>
  <si>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</si>
  <si>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</si>
  <si>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</si>
  <si>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</si>
  <si>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</si>
  <si>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</si>
  <si>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</si>
  <si>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</si>
  <si>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</si>
  <si>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</si>
  <si>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</si>
  <si>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</si>
  <si>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</si>
  <si>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</si>
  <si>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</si>
  <si>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</si>
  <si>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</si>
  <si>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</si>
  <si>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</si>
  <si>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</si>
  <si>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</si>
  <si>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</si>
  <si>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</si>
  <si>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</si>
  <si>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</si>
  <si>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</si>
  <si>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</si>
  <si>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</si>
  <si>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</si>
  <si>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</si>
  <si>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</si>
  <si>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</si>
  <si>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</si>
  <si>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</si>
  <si>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</si>
  <si>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</si>
  <si>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</si>
  <si>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</si>
  <si>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</si>
  <si>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</si>
  <si>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</si>
  <si>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</si>
  <si>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</si>
  <si>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</si>
  <si>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</si>
  <si>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</si>
  <si>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</si>
  <si>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</si>
  <si>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</si>
  <si>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</si>
  <si>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</si>
  <si>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</si>
  <si>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</si>
  <si>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</si>
  <si>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</si>
  <si>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</si>
  <si>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</si>
  <si>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</si>
  <si>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</si>
  <si>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</si>
  <si>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</si>
  <si>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</si>
  <si>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</si>
  <si>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</si>
  <si>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</si>
  <si>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</si>
  <si>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</si>
  <si>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</si>
  <si>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</si>
  <si>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</si>
  <si>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</si>
  <si>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</si>
  <si>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</si>
  <si>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</si>
  <si>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</si>
  <si>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</si>
  <si>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</si>
  <si>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</si>
  <si>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</si>
  <si>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</si>
  <si>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</si>
  <si>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</si>
  <si>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</si>
  <si>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</si>
  <si>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</si>
  <si>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</si>
  <si>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</si>
  <si>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</si>
  <si>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</si>
  <si>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</si>
  <si>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</si>
  <si>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</si>
  <si>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</si>
  <si>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</si>
  <si>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</si>
  <si>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</si>
  <si>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</si>
  <si>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</si>
  <si>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</si>
  <si>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</si>
  <si>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</si>
  <si>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</si>
  <si>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</si>
  <si>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</si>
  <si>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</si>
  <si>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</si>
  <si>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</si>
  <si>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</si>
  <si>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</si>
  <si>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</si>
  <si>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</si>
  <si>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</si>
  <si>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</si>
  <si>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</si>
  <si>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</si>
  <si>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</si>
  <si>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</si>
  <si>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</si>
  <si>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</si>
  <si>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</si>
  <si>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</si>
  <si>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</si>
  <si>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</si>
  <si>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</si>
  <si>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</si>
  <si>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</si>
  <si>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</si>
  <si>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</si>
  <si>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</si>
  <si>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</si>
  <si>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</si>
  <si>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</si>
  <si>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</si>
  <si>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</si>
  <si>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</si>
  <si>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</si>
  <si>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</si>
  <si>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</si>
  <si>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</si>
  <si>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</si>
  <si>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</si>
  <si>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</si>
  <si>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</si>
  <si>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</si>
  <si>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</si>
  <si>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</si>
  <si>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</si>
  <si>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</si>
  <si>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</si>
  <si>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</si>
  <si>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</si>
  <si>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</si>
  <si>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</si>
  <si>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</si>
  <si>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</si>
  <si>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</si>
  <si>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</si>
  <si>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</si>
  <si>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</si>
  <si>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</si>
  <si>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</si>
  <si>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</si>
  <si>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</si>
  <si>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</si>
  <si>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</si>
  <si>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</si>
  <si>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</si>
  <si>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</si>
  <si>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</si>
  <si>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</si>
  <si>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</si>
  <si>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</si>
  <si>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</si>
  <si>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</si>
  <si>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</si>
  <si>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</si>
  <si>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</si>
  <si>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</si>
  <si>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</si>
  <si>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</si>
  <si>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</si>
  <si>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</si>
  <si>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</si>
  <si>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</si>
  <si>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</si>
  <si>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</si>
  <si>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</si>
  <si>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</si>
  <si>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</si>
  <si>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</si>
  <si>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</si>
  <si>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</si>
  <si>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</si>
  <si>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</si>
  <si>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</si>
  <si>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</si>
  <si>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</si>
  <si>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</si>
  <si>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</si>
  <si>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</si>
  <si>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</si>
  <si>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</si>
  <si>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</si>
  <si>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</si>
  <si>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</si>
  <si>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</si>
  <si>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</si>
  <si>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</si>
  <si>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</si>
  <si>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</si>
  <si>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</si>
  <si>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</si>
  <si>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</si>
  <si>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</si>
  <si>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</si>
  <si>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</si>
  <si>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</si>
  <si>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</si>
  <si>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</si>
  <si>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</si>
  <si>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</si>
  <si>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</si>
  <si>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</si>
  <si>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</si>
  <si>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</si>
  <si>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</si>
  <si>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</si>
  <si>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</si>
  <si>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</si>
  <si>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</si>
  <si>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</si>
  <si>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</si>
  <si>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</si>
  <si>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</si>
  <si>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</si>
  <si>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</si>
  <si>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</si>
  <si>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</si>
  <si>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</si>
  <si>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</si>
  <si>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</si>
  <si>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</si>
  <si>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</si>
  <si>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</si>
  <si>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</si>
  <si>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</si>
  <si>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</si>
  <si>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</si>
  <si>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</si>
  <si>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</si>
  <si>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</si>
  <si>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</si>
  <si>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</si>
  <si>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</si>
  <si>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</si>
  <si>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</si>
  <si>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</si>
  <si>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</si>
  <si>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</si>
  <si>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</si>
  <si>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</si>
  <si>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</si>
  <si>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</si>
  <si>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</si>
  <si>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</si>
  <si>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</si>
  <si>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</si>
  <si>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</si>
  <si>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</si>
  <si>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</si>
  <si>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</si>
  <si>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</si>
  <si>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</si>
  <si>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</si>
  <si>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</si>
  <si>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</si>
  <si>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</si>
  <si>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</si>
  <si>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</si>
  <si>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</si>
  <si>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</si>
  <si>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</si>
  <si>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</si>
  <si>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</si>
  <si>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</si>
  <si>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</si>
  <si>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</si>
  <si>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</si>
  <si>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</si>
  <si>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</si>
  <si>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</si>
  <si>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</si>
  <si>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</si>
  <si>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</si>
  <si>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</si>
  <si>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</si>
  <si>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</si>
  <si>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</si>
  <si>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</si>
  <si>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</si>
  <si>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</si>
  <si>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</si>
  <si>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</si>
  <si>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</si>
  <si>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</si>
  <si>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</si>
  <si>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</si>
  <si>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</si>
  <si>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</si>
  <si>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</si>
  <si>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</si>
  <si>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</si>
  <si>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</si>
  <si>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</si>
  <si>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</si>
  <si>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</si>
  <si>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</si>
  <si>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</si>
  <si>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</si>
  <si>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</si>
  <si>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</si>
  <si>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</si>
  <si>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</si>
  <si>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</si>
  <si>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</si>
  <si>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</si>
  <si>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</si>
  <si>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</si>
  <si>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</si>
  <si>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</si>
  <si>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</si>
  <si>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</si>
  <si>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</si>
  <si>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</si>
  <si>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</si>
  <si>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</si>
  <si>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</si>
  <si>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</si>
  <si>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</si>
  <si>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</si>
  <si>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</si>
  <si>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</si>
  <si>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</si>
  <si>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</si>
  <si>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</si>
  <si>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</si>
  <si>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</si>
  <si>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</si>
  <si>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</si>
  <si>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</si>
  <si>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</si>
  <si>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</si>
  <si>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</si>
  <si>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</si>
  <si>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</si>
  <si>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</si>
  <si>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</si>
  <si>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</si>
  <si>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</si>
  <si>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</si>
  <si>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</si>
  <si>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</si>
  <si>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</si>
  <si>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</si>
  <si>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</si>
  <si>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</si>
  <si>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</si>
  <si>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</si>
  <si>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</si>
  <si>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</si>
  <si>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</si>
  <si>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</si>
  <si>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</si>
  <si>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</si>
  <si>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</si>
  <si>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</si>
  <si>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</si>
  <si>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</si>
  <si>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</si>
  <si>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</si>
  <si>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</si>
  <si>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</si>
  <si>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</si>
  <si>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</si>
  <si>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</si>
  <si>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</si>
  <si>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</si>
  <si>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</si>
  <si>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</si>
  <si>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</si>
  <si>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</si>
  <si>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</si>
  <si>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</si>
  <si>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</si>
  <si>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</si>
  <si>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</si>
  <si>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</si>
  <si>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</si>
  <si>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</si>
  <si>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</si>
  <si>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</si>
  <si>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</si>
  <si>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</si>
  <si>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</si>
  <si>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</si>
  <si>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</si>
  <si>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</si>
  <si>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</si>
  <si>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</si>
  <si>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</si>
  <si>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</si>
  <si>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</si>
  <si>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</si>
  <si>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</si>
  <si>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</si>
  <si>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</si>
  <si>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</si>
  <si>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</si>
  <si>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</si>
  <si>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</si>
  <si>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</si>
  <si>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</si>
  <si>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</si>
  <si>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</si>
  <si>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</si>
  <si>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</si>
  <si>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</si>
  <si>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</si>
  <si>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</si>
  <si>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</si>
  <si>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</si>
  <si>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</si>
  <si>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</si>
  <si>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</si>
  <si>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</si>
  <si>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</si>
  <si>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</si>
  <si>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</si>
  <si>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</si>
  <si>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</si>
  <si>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</si>
  <si>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</si>
  <si>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</si>
  <si>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</si>
  <si>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</si>
  <si>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</si>
  <si>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</si>
  <si>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</si>
  <si>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</si>
  <si>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</si>
  <si>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</si>
  <si>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</si>
  <si>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</si>
  <si>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</si>
  <si>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</si>
  <si>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</si>
  <si>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</si>
  <si>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</si>
  <si>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</si>
  <si>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</si>
  <si>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</si>
  <si>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</si>
  <si>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</si>
  <si>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</si>
  <si>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</si>
  <si>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</si>
  <si>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</si>
  <si>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</si>
  <si>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</si>
  <si>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</si>
  <si>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</si>
  <si>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</si>
  <si>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</si>
  <si>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</si>
  <si>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</si>
  <si>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</si>
  <si>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</si>
  <si>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</si>
  <si>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</si>
  <si>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</si>
  <si>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</si>
  <si>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</si>
  <si>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</si>
  <si>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</si>
  <si>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</si>
  <si>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</si>
  <si>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</si>
  <si>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</si>
  <si>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</si>
  <si>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</si>
  <si>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</si>
  <si>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</si>
  <si>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</si>
  <si>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</si>
  <si>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</si>
  <si>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</si>
  <si>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</si>
  <si>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</si>
  <si>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</si>
  <si>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</si>
  <si>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</si>
  <si>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</si>
  <si>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</si>
  <si>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</si>
  <si>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</si>
  <si>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</si>
  <si>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</si>
  <si>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</si>
  <si>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</si>
  <si>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</si>
  <si>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</si>
  <si>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</si>
  <si>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</si>
  <si>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</si>
  <si>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</si>
  <si>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</si>
  <si>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</si>
  <si>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</si>
  <si>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</si>
  <si>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</si>
  <si>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</si>
  <si>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</si>
  <si>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</si>
  <si>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</si>
  <si>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</si>
  <si>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</si>
  <si>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</si>
  <si>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</si>
  <si>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</si>
  <si>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</si>
  <si>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</si>
  <si>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</si>
  <si>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</si>
  <si>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</si>
  <si>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</si>
  <si>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</si>
  <si>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</si>
  <si>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</si>
  <si>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</si>
  <si>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</si>
  <si>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</si>
  <si>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</si>
  <si>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</si>
  <si>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</si>
  <si>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</si>
  <si>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</si>
  <si>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</si>
  <si>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</si>
  <si>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</si>
  <si>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</si>
  <si>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</si>
  <si>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</si>
  <si>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</si>
  <si>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</si>
  <si>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</si>
  <si>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</si>
  <si>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</si>
  <si>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</si>
  <si>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</si>
  <si>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</si>
  <si>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</si>
  <si>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</si>
  <si>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</si>
  <si>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</si>
  <si>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</si>
  <si>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</si>
  <si>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</si>
  <si>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</si>
  <si>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</si>
  <si>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</si>
  <si>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</si>
  <si>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</si>
  <si>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</si>
  <si>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</si>
  <si>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</si>
  <si>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</si>
  <si>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</si>
  <si>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</si>
  <si>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</si>
  <si>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</si>
  <si>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</si>
  <si>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</si>
  <si>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</si>
  <si>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</si>
  <si>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</si>
  <si>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</si>
  <si>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</si>
  <si>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</si>
  <si>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</si>
  <si>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</si>
  <si>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</si>
  <si>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</si>
  <si>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</si>
  <si>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</si>
  <si>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</si>
  <si>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</si>
  <si>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</si>
  <si>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</si>
  <si>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</si>
  <si>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</si>
  <si>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</si>
  <si>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</si>
  <si>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</si>
  <si>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</si>
  <si>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</si>
  <si>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</si>
  <si>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</si>
  <si>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</si>
  <si>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</si>
  <si>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</si>
  <si>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</si>
  <si>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</si>
  <si>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</si>
  <si>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</si>
  <si>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</si>
  <si>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</si>
  <si>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</si>
  <si>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</si>
  <si>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</si>
  <si>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</si>
  <si>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</si>
  <si>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</si>
  <si>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</si>
  <si>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</si>
  <si>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</si>
  <si>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</si>
  <si>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</si>
  <si>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</si>
  <si>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</si>
  <si>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</si>
  <si>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</si>
  <si>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</si>
  <si>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</si>
  <si>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</si>
  <si>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</si>
  <si>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</si>
  <si>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</si>
  <si>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</si>
  <si>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</si>
  <si>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</si>
  <si>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</si>
  <si>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</si>
  <si>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</si>
  <si>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</si>
  <si>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</si>
  <si>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</si>
  <si>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</si>
  <si>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</si>
  <si>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</si>
  <si>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</si>
  <si>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</si>
  <si>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</si>
  <si>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</si>
  <si>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</si>
  <si>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</si>
  <si>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</si>
  <si>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</si>
  <si>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</si>
  <si>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</si>
  <si>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</si>
  <si>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</si>
  <si>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</si>
  <si>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</si>
  <si>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</si>
  <si>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</si>
  <si>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</si>
  <si>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</si>
  <si>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</si>
  <si>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</si>
  <si>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</si>
  <si>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</si>
  <si>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</si>
  <si>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</si>
  <si>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</si>
  <si>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</si>
  <si>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</si>
  <si>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</si>
  <si>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</si>
  <si>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</si>
  <si>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</si>
  <si>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</si>
  <si>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</si>
  <si>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</si>
  <si>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</si>
  <si>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</si>
  <si>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</si>
  <si>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</si>
  <si>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</si>
  <si>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</si>
  <si>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</si>
  <si>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</si>
  <si>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</si>
  <si>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</si>
  <si>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</si>
  <si>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</si>
  <si>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</si>
  <si>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</si>
  <si>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</si>
  <si>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</si>
  <si>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</si>
  <si>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</si>
  <si>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</si>
  <si>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</si>
  <si>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</si>
  <si>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</si>
  <si>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</si>
  <si>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</si>
  <si>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</si>
  <si>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</si>
  <si>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</si>
  <si>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</si>
  <si>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</si>
  <si>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</si>
  <si>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</si>
  <si>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</si>
  <si>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</si>
  <si>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</si>
  <si>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</si>
  <si>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</si>
  <si>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</si>
  <si>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</si>
  <si>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</si>
  <si>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</si>
  <si>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</si>
  <si>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</si>
  <si>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</si>
  <si>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</si>
  <si>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</si>
  <si>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</si>
  <si>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</si>
  <si>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</si>
  <si>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</si>
  <si>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</si>
  <si>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</si>
  <si>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</si>
  <si>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</si>
  <si>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</si>
  <si>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</si>
  <si>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</si>
  <si>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</si>
  <si>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</si>
  <si>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</si>
  <si>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</si>
  <si>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</si>
  <si>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</si>
  <si>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</si>
  <si>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</si>
  <si>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</si>
  <si>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</si>
  <si>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</si>
  <si>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</si>
  <si>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</si>
  <si>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</si>
  <si>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</si>
  <si>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</si>
  <si>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</si>
  <si>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</si>
  <si>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</si>
  <si>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</si>
  <si>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</si>
  <si>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</si>
  <si>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</si>
  <si>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</si>
  <si>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</si>
  <si>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</si>
  <si>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</si>
  <si>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</si>
  <si>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</si>
  <si>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</si>
  <si>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</si>
  <si>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</si>
  <si>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</si>
  <si>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</si>
  <si>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</si>
  <si>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</si>
  <si>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</si>
  <si>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</si>
  <si>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</si>
  <si>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</si>
  <si>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</si>
  <si>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</si>
  <si>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</si>
  <si>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</si>
  <si>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</si>
  <si>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</si>
  <si>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</si>
  <si>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</si>
  <si>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</si>
  <si>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</si>
  <si>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</si>
  <si>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</si>
  <si>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</si>
  <si>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</si>
  <si>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</si>
  <si>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</si>
  <si>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</si>
  <si>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</si>
  <si>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</si>
  <si>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</si>
  <si>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</si>
  <si>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</si>
  <si>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</si>
  <si>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</si>
  <si>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</si>
  <si>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</si>
  <si>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</si>
  <si>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</si>
  <si>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</si>
  <si>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</si>
  <si>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</si>
  <si>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</si>
  <si>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</si>
  <si>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</si>
  <si>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</si>
  <si>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</si>
  <si>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</si>
  <si>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</si>
  <si>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</si>
  <si>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</si>
  <si>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</si>
  <si>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</si>
  <si>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</si>
  <si>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</si>
  <si>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</si>
  <si>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</si>
  <si>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</si>
  <si>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</si>
  <si>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</si>
  <si>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</si>
  <si>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</si>
  <si>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</si>
  <si>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</si>
  <si>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</si>
  <si>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</si>
  <si>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</si>
  <si>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</si>
  <si>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</si>
  <si>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</si>
  <si>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</si>
  <si>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</si>
  <si>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</si>
  <si>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</si>
  <si>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</si>
  <si>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</si>
  <si>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</si>
  <si>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</si>
  <si>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</si>
  <si>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</si>
  <si>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</si>
  <si>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</si>
  <si>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</si>
  <si>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</si>
  <si>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</si>
  <si>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</si>
  <si>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</si>
  <si>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</si>
  <si>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</si>
  <si>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</si>
  <si>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</si>
  <si>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</si>
  <si>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</si>
  <si>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</si>
  <si>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</si>
  <si>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</si>
  <si>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</si>
  <si>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</si>
  <si>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</si>
  <si>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</si>
  <si>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</si>
  <si>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</si>
  <si>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</si>
  <si>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</si>
  <si>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</si>
  <si>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</si>
  <si>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</si>
  <si>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</si>
  <si>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</si>
  <si>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</si>
  <si>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</si>
  <si>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</si>
  <si>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</si>
  <si>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</si>
  <si>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</si>
  <si>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</si>
  <si>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</si>
  <si>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</si>
  <si>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</si>
  <si>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</si>
  <si>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</si>
  <si>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</si>
  <si>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</si>
  <si>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</si>
  <si>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</si>
  <si>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</si>
  <si>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</si>
  <si>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</si>
  <si>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</si>
  <si>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</si>
  <si>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</si>
  <si>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</si>
  <si>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</si>
  <si>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</si>
  <si>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</si>
  <si>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</si>
  <si>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</si>
  <si>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</si>
  <si>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</si>
  <si>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</si>
  <si>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</si>
  <si>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</si>
  <si>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</si>
  <si>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</si>
  <si>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</si>
  <si>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</si>
  <si>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</si>
  <si>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</si>
  <si>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</si>
  <si>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</si>
  <si>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</si>
  <si>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</si>
  <si>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</si>
  <si>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</si>
  <si>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</si>
  <si>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</si>
  <si>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</si>
  <si>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</si>
  <si>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</si>
  <si>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</si>
  <si>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</si>
  <si>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</si>
  <si>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</si>
  <si>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</si>
  <si>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</si>
  <si>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</si>
  <si>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</si>
  <si>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</si>
  <si>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</si>
  <si>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</si>
  <si>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</si>
  <si>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</si>
  <si>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</si>
  <si>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</si>
  <si>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</si>
  <si>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</si>
  <si>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</si>
  <si>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</si>
  <si>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</si>
  <si>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</si>
  <si>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</si>
  <si>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</si>
  <si>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</si>
  <si>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</si>
  <si>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</si>
  <si>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</si>
  <si>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</si>
  <si>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</si>
  <si>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</si>
  <si>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</si>
  <si>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</si>
  <si>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</si>
  <si>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</si>
  <si>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</si>
  <si>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</si>
  <si>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</si>
  <si>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</si>
  <si>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</si>
  <si>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</si>
  <si>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</si>
  <si>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</si>
  <si>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</si>
  <si>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</si>
  <si>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</si>
  <si>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</si>
  <si>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</si>
  <si>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</si>
  <si>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</si>
  <si>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</si>
  <si>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</si>
  <si>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</si>
  <si>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</si>
  <si>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</si>
  <si>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</si>
  <si>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</si>
  <si>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</si>
  <si>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</si>
  <si>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</si>
  <si>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</si>
  <si>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</si>
  <si>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</si>
  <si>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</si>
  <si>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</si>
  <si>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</si>
  <si>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</si>
  <si>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</si>
  <si>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</si>
  <si>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</si>
  <si>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</si>
  <si>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</si>
  <si>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</si>
  <si>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</si>
  <si>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</si>
  <si>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</si>
  <si>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</si>
  <si>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</si>
  <si>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</si>
  <si>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</si>
  <si>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</si>
  <si>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</si>
  <si>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</si>
  <si>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</si>
  <si>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</si>
  <si>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</si>
  <si>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</si>
  <si>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</si>
  <si>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</si>
  <si>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</si>
  <si>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</si>
  <si>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</si>
  <si>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</si>
  <si>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</si>
  <si>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</si>
  <si>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</si>
  <si>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</si>
  <si>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</si>
  <si>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</si>
  <si>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</si>
  <si>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</si>
  <si>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</si>
  <si>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</si>
  <si>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</si>
  <si>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</si>
  <si>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</si>
  <si>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</si>
  <si>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</si>
  <si>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</si>
  <si>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</si>
  <si>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</si>
  <si>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</si>
  <si>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</si>
  <si>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</si>
  <si>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</si>
  <si>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</si>
  <si>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</si>
  <si>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</si>
  <si>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</si>
  <si>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</si>
  <si>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</si>
  <si>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</si>
  <si>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</si>
  <si>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</si>
  <si>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</si>
  <si>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</si>
  <si>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</si>
  <si>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</si>
  <si>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</si>
  <si>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</si>
  <si>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</si>
  <si>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</si>
  <si>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</si>
  <si>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</si>
  <si>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</si>
  <si>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</si>
  <si>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</si>
  <si>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</si>
  <si>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</si>
  <si>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</si>
  <si>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</si>
  <si>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</si>
  <si>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</si>
  <si>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</si>
  <si>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</si>
  <si>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</si>
  <si>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</si>
  <si>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</si>
  <si>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</si>
  <si>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</si>
  <si>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</si>
  <si>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</si>
  <si>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</si>
  <si>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</si>
  <si>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</si>
  <si>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</si>
  <si>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</si>
  <si>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</si>
  <si>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</si>
  <si>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</si>
  <si>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</si>
  <si>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</si>
  <si>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</si>
  <si>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</si>
  <si>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</si>
  <si>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</si>
  <si>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</si>
  <si>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</si>
  <si>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</si>
  <si>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</si>
  <si>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</si>
  <si>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</si>
  <si>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</si>
  <si>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</si>
  <si>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</si>
  <si>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</si>
  <si>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</si>
  <si>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</si>
  <si>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</si>
  <si>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</si>
  <si>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</si>
  <si>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</si>
  <si>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</si>
  <si>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</si>
  <si>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</si>
  <si>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</si>
  <si>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</si>
  <si>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</si>
  <si>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</si>
  <si>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</si>
  <si>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</si>
  <si>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</si>
  <si>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</si>
  <si>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</si>
  <si>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</si>
  <si>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</si>
  <si>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</si>
  <si>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</si>
  <si>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</si>
  <si>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</si>
  <si>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</si>
  <si>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</si>
  <si>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</si>
  <si>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</si>
  <si>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</si>
  <si>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</si>
  <si>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</si>
  <si>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</si>
  <si>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</si>
  <si>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</si>
  <si>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</si>
  <si>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</si>
  <si>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</si>
  <si>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</si>
  <si>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</si>
  <si>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</si>
  <si>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</si>
  <si>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</si>
  <si>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</si>
  <si>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</si>
  <si>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</si>
  <si>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</si>
  <si>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</si>
  <si>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</si>
  <si>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</si>
  <si>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</si>
  <si>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</si>
  <si>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</si>
  <si>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</si>
  <si>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</si>
  <si>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</si>
  <si>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</si>
  <si>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</si>
  <si>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</si>
  <si>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</si>
  <si>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</si>
  <si>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</si>
  <si>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</si>
  <si>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</si>
  <si>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</si>
  <si>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</si>
  <si>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</si>
  <si>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</si>
  <si>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</si>
  <si>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</si>
  <si>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</si>
  <si>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</si>
  <si>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</si>
  <si>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</si>
  <si>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</si>
  <si>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</si>
  <si>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</si>
  <si>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</si>
  <si>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</si>
  <si>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</si>
  <si>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</si>
  <si>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</si>
  <si>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</si>
  <si>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</si>
  <si>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</si>
  <si>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</si>
  <si>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</si>
  <si>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</si>
  <si>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</si>
  <si>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</si>
  <si>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</si>
  <si>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</si>
  <si>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</si>
  <si>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</si>
  <si>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</si>
  <si>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</si>
  <si>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</si>
  <si>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</si>
  <si>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</si>
  <si>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</si>
  <si>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</si>
  <si>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</si>
  <si>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</si>
  <si>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</si>
  <si>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</si>
  <si>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</si>
  <si>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</si>
  <si>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</si>
  <si>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</si>
  <si>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</si>
  <si>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</si>
  <si>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</si>
  <si>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</si>
  <si>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</si>
  <si>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</si>
  <si>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</si>
  <si>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</si>
  <si>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</si>
  <si>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</si>
  <si>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</si>
  <si>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</si>
  <si>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</si>
  <si>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</si>
  <si>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</si>
  <si>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</si>
  <si>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</si>
  <si>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</si>
  <si>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</si>
  <si>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</si>
  <si>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</si>
  <si>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</si>
  <si>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</si>
  <si>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</si>
  <si>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</si>
  <si>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</si>
  <si>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</si>
  <si>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</si>
  <si>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</si>
  <si>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</si>
  <si>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</si>
  <si>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</si>
  <si>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</si>
  <si>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</si>
  <si>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</si>
  <si>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</si>
  <si>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</si>
  <si>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</si>
  <si>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</si>
  <si>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</si>
  <si>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</si>
  <si>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</si>
  <si>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</si>
  <si>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</si>
  <si>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</si>
  <si>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</si>
  <si>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</si>
  <si>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</si>
  <si>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</si>
  <si>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</si>
  <si>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</si>
  <si>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</si>
  <si>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</si>
  <si>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</si>
  <si>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</si>
  <si>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</si>
  <si>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</si>
  <si>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</si>
  <si>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</si>
  <si>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</si>
  <si>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</si>
  <si>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</si>
  <si>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</si>
  <si>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</si>
  <si>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</si>
  <si>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</si>
  <si>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</si>
  <si>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</si>
  <si>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</si>
  <si>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</si>
  <si>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</si>
  <si>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</si>
  <si>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</si>
  <si>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</si>
  <si>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</si>
  <si>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</si>
  <si>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</si>
  <si>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</si>
  <si>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</si>
  <si>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</si>
  <si>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</si>
  <si>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</si>
  <si>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</si>
  <si>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</si>
  <si>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</si>
  <si>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</si>
  <si>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</si>
  <si>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</si>
  <si>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</si>
  <si>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</si>
  <si>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</si>
  <si>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</si>
  <si>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</si>
  <si>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</si>
  <si>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</si>
  <si>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</si>
  <si>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</si>
  <si>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</si>
  <si>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</si>
  <si>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</si>
  <si>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</si>
  <si>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</si>
  <si>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</si>
  <si>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</si>
  <si>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</si>
  <si>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</si>
  <si>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</si>
  <si>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</si>
  <si>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</si>
  <si>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</si>
  <si>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</si>
  <si>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</si>
  <si>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</si>
  <si>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</si>
  <si>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</si>
  <si>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</si>
  <si>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</si>
  <si>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</si>
  <si>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</si>
  <si>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</si>
  <si>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</si>
  <si>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</si>
  <si>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</si>
  <si>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</si>
  <si>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</si>
  <si>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</si>
  <si>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</si>
  <si>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</si>
  <si>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</si>
  <si>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</si>
  <si>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</si>
  <si>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</si>
  <si>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</si>
  <si>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</si>
  <si>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</si>
  <si>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</si>
  <si>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</si>
  <si>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</si>
  <si>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</si>
  <si>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</si>
  <si>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</si>
  <si>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</si>
  <si>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</si>
  <si>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</si>
  <si>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</si>
  <si>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</si>
  <si>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</si>
  <si>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</si>
  <si>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</si>
  <si>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</si>
  <si>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</si>
  <si>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</si>
  <si>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</si>
  <si>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</si>
  <si>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</si>
  <si>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</si>
  <si>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</si>
  <si>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</si>
  <si>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</si>
  <si>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</si>
  <si>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</si>
  <si>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</si>
  <si>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</si>
  <si>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</si>
  <si>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</si>
  <si>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</si>
  <si>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</si>
  <si>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</si>
  <si>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</si>
  <si>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</si>
  <si>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</si>
  <si>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</si>
  <si>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</si>
  <si>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</si>
  <si>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</si>
  <si>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</si>
  <si>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</si>
  <si>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</si>
  <si>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</si>
  <si>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</si>
  <si>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</si>
  <si>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</si>
  <si>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</si>
  <si>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</si>
  <si>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</si>
  <si>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</si>
  <si>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</si>
  <si>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</si>
  <si>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</si>
  <si>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</si>
  <si>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</si>
  <si>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</si>
  <si>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</si>
  <si>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</si>
  <si>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</si>
  <si>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</si>
  <si>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</si>
  <si>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</si>
  <si>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</si>
  <si>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</si>
  <si>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</si>
  <si>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</si>
  <si>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</si>
  <si>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</si>
  <si>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</si>
  <si>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</si>
  <si>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</si>
  <si>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</si>
  <si>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</si>
  <si>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</si>
  <si>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</si>
  <si>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</si>
  <si>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</si>
  <si>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</si>
  <si>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</si>
  <si>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</si>
  <si>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</si>
  <si>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</si>
  <si>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</si>
  <si>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</si>
  <si>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</si>
  <si>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</si>
  <si>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</si>
  <si>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</si>
  <si>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</si>
  <si>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</si>
  <si>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</si>
  <si>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</si>
  <si>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</si>
  <si>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</si>
  <si>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</si>
  <si>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</si>
  <si>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</si>
  <si>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</si>
  <si>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</si>
  <si>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</si>
  <si>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</si>
  <si>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</si>
  <si>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</si>
  <si>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</si>
  <si>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</si>
  <si>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</si>
  <si>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</si>
  <si>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</si>
  <si>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</si>
  <si>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</si>
  <si>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</si>
  <si>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</si>
  <si>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</si>
  <si>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</si>
  <si>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</si>
  <si>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</si>
  <si>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</si>
  <si>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</si>
  <si>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</si>
  <si>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</si>
  <si>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</si>
  <si>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</si>
  <si>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</si>
  <si>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</si>
  <si>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</si>
  <si>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</si>
  <si>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</si>
  <si>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</si>
  <si>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</si>
  <si>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</si>
  <si>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</si>
  <si>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</si>
  <si>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</si>
  <si>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</si>
  <si>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</si>
  <si>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</si>
  <si>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</si>
  <si>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</si>
  <si>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</si>
  <si>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</si>
  <si>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</si>
  <si>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</si>
  <si>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</si>
  <si>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</si>
  <si>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</si>
  <si>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</si>
  <si>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</si>
  <si>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</si>
  <si>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</si>
  <si>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</si>
  <si>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</si>
  <si>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</si>
  <si>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</si>
  <si>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</si>
  <si>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</si>
  <si>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</si>
  <si>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</si>
  <si>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</si>
  <si>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</si>
  <si>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</si>
  <si>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</si>
  <si>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</si>
  <si>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</si>
  <si>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</si>
  <si>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</si>
  <si>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</si>
  <si>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</si>
  <si>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</si>
  <si>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</si>
  <si>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</si>
  <si>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</si>
  <si>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</si>
  <si>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</si>
  <si>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</si>
  <si>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</si>
  <si>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</si>
  <si>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</si>
  <si>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</si>
  <si>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</si>
  <si>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</si>
  <si>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</si>
  <si>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</si>
  <si>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</si>
  <si>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</si>
  <si>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</si>
  <si>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</si>
  <si>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</si>
  <si>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</si>
  <si>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</si>
  <si>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</si>
  <si>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</si>
  <si>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</si>
  <si>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</si>
  <si>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</si>
  <si>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</si>
  <si>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</si>
  <si>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</si>
  <si>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</si>
  <si>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</si>
  <si>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</si>
  <si>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</si>
  <si>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</si>
  <si>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</si>
  <si>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</si>
  <si>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</si>
  <si>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</si>
  <si>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</si>
  <si>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</si>
  <si>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</si>
  <si>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</si>
  <si>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</si>
  <si>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</si>
  <si>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</si>
  <si>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</si>
  <si>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</si>
  <si>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</si>
  <si>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</si>
  <si>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</si>
  <si>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</si>
  <si>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</si>
  <si>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</si>
  <si>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</si>
  <si>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</si>
  <si>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</si>
  <si>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</si>
  <si>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</si>
  <si>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</si>
  <si>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</si>
  <si>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</si>
  <si>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</si>
  <si>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</si>
  <si>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</si>
  <si>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</si>
  <si>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</si>
  <si>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</si>
  <si>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</si>
  <si>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</si>
  <si>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</si>
  <si>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</si>
  <si>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</si>
  <si>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</si>
  <si>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</si>
  <si>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</si>
  <si>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</si>
  <si>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</si>
  <si>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</si>
  <si>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</si>
  <si>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</si>
  <si>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</si>
  <si>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</si>
  <si>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</si>
  <si>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</si>
  <si>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</si>
  <si>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</si>
  <si>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</si>
  <si>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</si>
  <si>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</si>
  <si>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</si>
  <si>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</si>
  <si>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</si>
  <si>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</si>
  <si>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</si>
  <si>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</si>
  <si>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</si>
  <si>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</si>
  <si>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</si>
  <si>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</si>
  <si>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</si>
  <si>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</si>
  <si>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</si>
  <si>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</si>
  <si>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</si>
  <si>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</si>
  <si>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</si>
  <si>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</si>
  <si>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</si>
  <si>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</si>
  <si>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</si>
  <si>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</si>
  <si>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</si>
  <si>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</si>
  <si>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</si>
  <si>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</si>
  <si>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</si>
  <si>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</si>
  <si>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</si>
  <si>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</si>
  <si>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</si>
  <si>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</si>
  <si>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</si>
  <si>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</si>
  <si>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</si>
  <si>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</si>
  <si>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</si>
  <si>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</si>
  <si>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</si>
  <si>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</si>
  <si>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</si>
  <si>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</si>
  <si>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</si>
  <si>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</si>
  <si>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</si>
  <si>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</si>
  <si>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</si>
  <si>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</si>
  <si>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</si>
  <si>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</si>
  <si>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</si>
  <si>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</si>
  <si>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</si>
  <si>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</si>
  <si>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</si>
  <si>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</si>
  <si>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</si>
  <si>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</si>
  <si>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</si>
  <si>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</si>
  <si>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</si>
  <si>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</si>
  <si>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</si>
  <si>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</si>
  <si>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</si>
  <si>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</si>
  <si>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</si>
  <si>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</si>
  <si>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</si>
  <si>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</si>
  <si>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</si>
  <si>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</si>
  <si>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</si>
  <si>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</si>
  <si>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</si>
  <si>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</si>
  <si>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</si>
  <si>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</si>
  <si>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</si>
  <si>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</si>
  <si>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</si>
  <si>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</si>
  <si>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</si>
  <si>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</si>
  <si>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</si>
  <si>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</si>
  <si>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</si>
  <si>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</si>
  <si>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</si>
  <si>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</si>
  <si>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</si>
  <si>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</si>
  <si>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</si>
  <si>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</si>
  <si>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</si>
  <si>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</si>
  <si>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</si>
  <si>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</si>
  <si>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</si>
  <si>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</si>
  <si>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</si>
  <si>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</si>
  <si>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</si>
  <si>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</si>
  <si>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</si>
  <si>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</si>
  <si>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</si>
  <si>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</si>
  <si>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</si>
  <si>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</si>
  <si>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</si>
  <si>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</si>
  <si>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</si>
  <si>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</si>
  <si>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</si>
  <si>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</si>
  <si>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</si>
  <si>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</si>
  <si>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</si>
  <si>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</si>
  <si>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</si>
  <si>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</si>
  <si>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</si>
  <si>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</si>
  <si>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</si>
  <si>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</si>
  <si>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</si>
  <si>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</si>
  <si>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</si>
  <si>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</si>
  <si>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</si>
  <si>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</si>
  <si>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</si>
  <si>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</si>
  <si>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</si>
  <si>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</si>
  <si>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</si>
  <si>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</si>
  <si>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</si>
  <si>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</si>
  <si>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</si>
  <si>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</si>
  <si>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</si>
  <si>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</si>
  <si>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</si>
  <si>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</si>
  <si>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</si>
  <si>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</si>
  <si>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</si>
  <si>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</si>
  <si>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</si>
  <si>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</si>
  <si>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</si>
  <si>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</si>
  <si>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</si>
  <si>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</si>
  <si>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</si>
  <si>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</si>
  <si>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</si>
  <si>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</si>
  <si>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</si>
  <si>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</si>
  <si>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</si>
  <si>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</si>
  <si>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</si>
  <si>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</si>
  <si>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</si>
  <si>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</si>
  <si>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</si>
  <si>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</si>
  <si>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</si>
  <si>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</si>
  <si>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</si>
  <si>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</si>
  <si>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</si>
  <si>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</si>
  <si>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</si>
  <si>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</si>
  <si>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</si>
  <si>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</si>
  <si>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</si>
  <si>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</si>
  <si>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</si>
  <si>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</si>
  <si>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</si>
  <si>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</si>
  <si>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</si>
  <si>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</si>
  <si>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</si>
  <si>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</si>
  <si>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</si>
  <si>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</si>
  <si>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</si>
  <si>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</si>
  <si>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</si>
  <si>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</si>
  <si>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</si>
  <si>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</si>
  <si>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</si>
  <si>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</si>
  <si>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</si>
  <si>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</si>
  <si>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</si>
  <si>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</si>
  <si>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</si>
  <si>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</si>
  <si>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</si>
  <si>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</si>
  <si>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</si>
  <si>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</si>
  <si>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</si>
  <si>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</si>
  <si>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</si>
  <si>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</si>
  <si>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</si>
  <si>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</si>
  <si>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</si>
  <si>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</si>
  <si>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</si>
  <si>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</si>
  <si>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</si>
  <si>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</si>
  <si>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</si>
  <si>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</si>
  <si>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</si>
  <si>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</si>
  <si>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</si>
  <si>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</si>
  <si>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</si>
  <si>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</si>
  <si>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</si>
  <si>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</si>
  <si>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</si>
  <si>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</si>
  <si>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</si>
  <si>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</si>
  <si>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</si>
  <si>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</si>
  <si>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</si>
  <si>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</si>
  <si>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</si>
  <si>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</si>
  <si>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</si>
  <si>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</si>
  <si>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</si>
  <si>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</si>
  <si>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</si>
  <si>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</si>
  <si>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</si>
  <si>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</si>
  <si>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</si>
  <si>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</si>
  <si>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</si>
  <si>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</si>
  <si>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</si>
  <si>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</si>
  <si>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</si>
  <si>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</si>
  <si>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</si>
  <si>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</si>
  <si>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</si>
  <si>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</si>
  <si>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</si>
  <si>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</si>
  <si>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</si>
  <si>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</si>
  <si>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</si>
  <si>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</si>
  <si>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</si>
  <si>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</si>
  <si>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</si>
  <si>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</si>
  <si>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</si>
  <si>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</si>
  <si>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</si>
  <si>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</si>
  <si>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</si>
  <si>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</si>
  <si>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</si>
  <si>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</si>
  <si>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</si>
  <si>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</si>
  <si>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</si>
  <si>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</si>
  <si>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</si>
  <si>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</si>
  <si>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</si>
  <si>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</si>
  <si>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</si>
  <si>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</si>
  <si>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</si>
  <si>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</si>
  <si>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</si>
  <si>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</si>
  <si>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</si>
  <si>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</si>
  <si>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</si>
  <si>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</si>
  <si>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</si>
  <si>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</si>
  <si>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</si>
  <si>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</si>
  <si>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</si>
  <si>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</si>
  <si>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</si>
  <si>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</si>
  <si>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</si>
  <si>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</si>
  <si>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</si>
  <si>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</si>
  <si>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</si>
  <si>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</si>
  <si>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</si>
  <si>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</si>
  <si>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</si>
  <si>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</si>
  <si>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</si>
  <si>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</si>
  <si>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</si>
  <si>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</si>
  <si>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</si>
  <si>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</si>
  <si>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</si>
  <si>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</si>
  <si>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</si>
  <si>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</si>
  <si>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</si>
  <si>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</si>
  <si>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</si>
  <si>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</si>
  <si>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</si>
  <si>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</si>
  <si>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</si>
  <si>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</si>
  <si>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</si>
  <si>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</si>
  <si>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</si>
  <si>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</si>
  <si>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</si>
  <si>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</si>
  <si>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</si>
  <si>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</si>
  <si>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</si>
  <si>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</si>
  <si>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</si>
  <si>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</si>
  <si>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</si>
  <si>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</si>
  <si>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</si>
  <si>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</si>
  <si>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</si>
  <si>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</si>
  <si>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</si>
  <si>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</si>
  <si>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</si>
  <si>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</si>
  <si>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</si>
  <si>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</si>
  <si>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</si>
  <si>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</si>
  <si>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</si>
  <si>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</si>
  <si>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</si>
  <si>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</si>
  <si>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</si>
  <si>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</si>
  <si>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</si>
  <si>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</si>
  <si>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</si>
  <si>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</si>
  <si>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</si>
  <si>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</si>
  <si>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</si>
  <si>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</si>
  <si>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</si>
  <si>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</si>
  <si>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</si>
  <si>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</si>
  <si>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</si>
  <si>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</si>
  <si>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</si>
  <si>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</si>
  <si>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</si>
  <si>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</si>
  <si>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</si>
  <si>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</si>
  <si>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</si>
  <si>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</si>
  <si>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</si>
  <si>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</si>
  <si>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</si>
  <si>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</si>
  <si>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</si>
  <si>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</si>
  <si>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</si>
  <si>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</si>
  <si>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</si>
  <si>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</si>
  <si>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</si>
  <si>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</si>
  <si>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</si>
  <si>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</si>
  <si>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</si>
  <si>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</si>
  <si>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</si>
  <si>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</si>
  <si>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</si>
  <si>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</si>
  <si>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</si>
  <si>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</si>
  <si>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</si>
  <si>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</si>
  <si>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</si>
  <si>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</si>
  <si>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</si>
  <si>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</si>
  <si>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</si>
  <si>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</si>
  <si>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</si>
  <si>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</si>
  <si>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</si>
  <si>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</si>
  <si>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</si>
  <si>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</si>
  <si>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</si>
  <si>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</si>
  <si>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</si>
  <si>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</si>
  <si>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</si>
  <si>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</si>
  <si>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</si>
  <si>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</si>
  <si>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</si>
  <si>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</si>
  <si>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</si>
  <si>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</si>
  <si>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</si>
  <si>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</si>
  <si>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</si>
  <si>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</si>
  <si>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</si>
  <si>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</si>
  <si>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</si>
  <si>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</si>
  <si>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</si>
  <si>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</si>
  <si>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</si>
  <si>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</si>
  <si>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</si>
  <si>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</si>
  <si>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</si>
  <si>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</si>
  <si>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</si>
  <si>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</si>
  <si>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</si>
  <si>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</si>
  <si>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</si>
  <si>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</si>
  <si>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</si>
  <si>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</si>
  <si>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</si>
  <si>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</si>
  <si>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</si>
  <si>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</si>
  <si>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</si>
  <si>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</si>
  <si>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</si>
  <si>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</si>
  <si>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</si>
  <si>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</si>
  <si>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</si>
  <si>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</si>
  <si>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</si>
  <si>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</si>
  <si>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</si>
  <si>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</si>
  <si>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</si>
  <si>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</si>
  <si>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</si>
  <si>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</si>
  <si>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</si>
  <si>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</si>
  <si>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</si>
  <si>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</si>
  <si>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</si>
  <si>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</si>
  <si>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</si>
  <si>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</si>
  <si>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</si>
  <si>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</si>
  <si>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</si>
  <si>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</si>
  <si>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</si>
  <si>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</si>
  <si>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</si>
  <si>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</si>
  <si>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</si>
  <si>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</si>
  <si>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</si>
  <si>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</si>
  <si>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</si>
  <si>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</si>
  <si>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</si>
  <si>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</si>
  <si>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</si>
  <si>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</si>
  <si>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</si>
  <si>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</si>
  <si>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</si>
  <si>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</si>
  <si>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</si>
  <si>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</si>
  <si>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</si>
  <si>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</si>
  <si>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</si>
  <si>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</si>
  <si>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</si>
  <si>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</si>
  <si>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</si>
  <si>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</si>
  <si>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</si>
  <si>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</si>
  <si>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</si>
  <si>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</si>
  <si>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</si>
  <si>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</si>
  <si>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</si>
  <si>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</si>
  <si>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</si>
  <si>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</si>
  <si>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</si>
  <si>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</si>
  <si>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</si>
  <si>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</si>
  <si>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</si>
  <si>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</si>
  <si>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</si>
  <si>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</si>
  <si>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</si>
  <si>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</si>
  <si>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</si>
  <si>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</si>
  <si>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</si>
  <si>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</si>
  <si>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</si>
  <si>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</si>
  <si>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</si>
  <si>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</si>
  <si>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</si>
  <si>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</si>
  <si>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</si>
  <si>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</si>
  <si>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</si>
  <si>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</si>
  <si>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</si>
  <si>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</si>
  <si>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</si>
  <si>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</si>
  <si>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</si>
  <si>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</si>
  <si>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</si>
  <si>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</si>
  <si>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</si>
  <si>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</si>
  <si>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</si>
  <si>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</si>
  <si>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</si>
  <si>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</si>
  <si>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</si>
  <si>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</si>
  <si>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</si>
  <si>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</si>
  <si>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</si>
  <si>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</si>
  <si>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</si>
  <si>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</si>
  <si>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</si>
  <si>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</si>
  <si>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</si>
  <si>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</si>
  <si>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</si>
  <si>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</si>
  <si>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</si>
  <si>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</si>
  <si>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</si>
  <si>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</si>
  <si>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</si>
  <si>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</si>
  <si>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</si>
  <si>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</si>
  <si>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</si>
  <si>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</si>
  <si>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</si>
  <si>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</si>
  <si>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</si>
  <si>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</si>
  <si>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</si>
  <si>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</si>
  <si>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</si>
  <si>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</si>
  <si>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</si>
  <si>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</si>
  <si>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</si>
  <si>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</si>
  <si>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</si>
  <si>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</si>
  <si>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</si>
  <si>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</si>
  <si>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</si>
  <si>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</si>
  <si>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</si>
  <si>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</si>
  <si>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</si>
  <si>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</si>
  <si>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</si>
  <si>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</si>
  <si>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</si>
  <si>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</si>
  <si>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</si>
  <si>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</si>
  <si>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</si>
  <si>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</si>
  <si>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</si>
  <si>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</si>
  <si>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</si>
  <si>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</si>
  <si>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</si>
  <si>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</si>
  <si>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</si>
  <si>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</si>
  <si>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</si>
  <si>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</si>
  <si>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</si>
  <si>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</si>
  <si>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</si>
  <si>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</si>
  <si>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</si>
  <si>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</si>
  <si>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</si>
  <si>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</si>
  <si>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</si>
  <si>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</si>
  <si>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</si>
  <si>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</si>
  <si>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</si>
  <si>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</si>
  <si>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</si>
  <si>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</si>
  <si>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</si>
  <si>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</si>
  <si>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</si>
  <si>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</si>
  <si>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</si>
  <si>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</si>
  <si>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</si>
  <si>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</si>
  <si>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</si>
  <si>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</si>
  <si>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</si>
  <si>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</si>
  <si>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</si>
  <si>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</si>
  <si>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</si>
  <si>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</si>
  <si>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</si>
  <si>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</si>
  <si>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</si>
  <si>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</si>
  <si>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</si>
  <si>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</si>
  <si>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</si>
  <si>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</si>
  <si>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</si>
  <si>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</si>
  <si>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</si>
  <si>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</si>
  <si>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</si>
  <si>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</si>
  <si>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</si>
  <si>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</si>
  <si>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</si>
  <si>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</si>
  <si>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</si>
  <si>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</si>
  <si>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</si>
  <si>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</si>
  <si>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</si>
  <si>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</si>
  <si>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</si>
  <si>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</si>
  <si>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</si>
  <si>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</si>
  <si>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</si>
  <si>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</si>
  <si>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</si>
  <si>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</si>
  <si>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</si>
  <si>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</si>
  <si>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</si>
  <si>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</si>
  <si>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</si>
  <si>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</si>
  <si>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</si>
  <si>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</si>
  <si>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</si>
  <si>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</si>
  <si>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</si>
  <si>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</si>
  <si>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</si>
  <si>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</si>
  <si>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</si>
  <si>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</si>
  <si>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</si>
  <si>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</si>
  <si>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</si>
  <si>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</si>
  <si>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</si>
  <si>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</si>
  <si>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</si>
  <si>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</si>
  <si>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</si>
  <si>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</si>
  <si>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</si>
  <si>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</si>
  <si>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</si>
  <si>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</si>
  <si>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</si>
  <si>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</si>
  <si>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</si>
  <si>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</si>
  <si>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</si>
  <si>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</si>
  <si>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</si>
  <si>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</si>
  <si>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</si>
  <si>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</si>
  <si>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</si>
  <si>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</si>
  <si>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</si>
  <si>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</si>
  <si>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</si>
  <si>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</si>
  <si>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</si>
  <si>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</si>
  <si>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</si>
  <si>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</si>
  <si>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</si>
  <si>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</si>
  <si>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</si>
  <si>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</si>
  <si>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</si>
  <si>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</si>
  <si>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</si>
  <si>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</si>
  <si>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</si>
  <si>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</si>
  <si>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</si>
  <si>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</si>
  <si>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</si>
  <si>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</si>
  <si>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</si>
  <si>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</si>
  <si>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</si>
  <si>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</si>
  <si>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</si>
  <si>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</si>
  <si>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</si>
  <si>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</si>
  <si>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</si>
  <si>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</si>
  <si>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</si>
  <si>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</si>
  <si>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</si>
  <si>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</si>
  <si>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</si>
  <si>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</si>
  <si>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</si>
  <si>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</si>
  <si>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</si>
  <si>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</si>
  <si>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</si>
  <si>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</si>
  <si>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</si>
  <si>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</si>
  <si>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</si>
  <si>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</si>
  <si>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</si>
  <si>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</si>
  <si>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</si>
  <si>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</si>
  <si>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</si>
  <si>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</si>
  <si>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</si>
  <si>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</si>
  <si>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</si>
  <si>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</si>
  <si>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</si>
  <si>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</si>
  <si>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</si>
  <si>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</si>
  <si>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</si>
  <si>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</si>
  <si>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</si>
  <si>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</si>
  <si>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</si>
  <si>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</si>
  <si>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</si>
  <si>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</si>
  <si>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</si>
  <si>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</si>
  <si>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</si>
  <si>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</si>
  <si>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</si>
  <si>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</si>
  <si>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</si>
  <si>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</si>
  <si>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</si>
  <si>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</si>
  <si>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</si>
  <si>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</si>
  <si>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</si>
  <si>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</si>
  <si>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</si>
  <si>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</si>
  <si>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</si>
  <si>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</si>
  <si>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</si>
  <si>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</si>
  <si>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</si>
  <si>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</si>
  <si>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</si>
  <si>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</si>
  <si>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</si>
  <si>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</si>
  <si>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</si>
  <si>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</si>
  <si>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</si>
  <si>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</si>
  <si>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</si>
  <si>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</si>
  <si>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</si>
  <si>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</si>
  <si>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</si>
  <si>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</si>
  <si>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</si>
  <si>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</si>
  <si>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</si>
  <si>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</si>
  <si>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</si>
  <si>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</si>
  <si>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</si>
  <si>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</si>
  <si>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</si>
  <si>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</si>
  <si>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</si>
  <si>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</si>
  <si>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</si>
  <si>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</si>
  <si>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</si>
  <si>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</si>
  <si>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</si>
  <si>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</si>
  <si>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</si>
  <si>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</si>
  <si>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</si>
  <si>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</si>
  <si>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</si>
  <si>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</si>
  <si>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</si>
  <si>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</si>
  <si>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</si>
  <si>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</si>
  <si>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</si>
  <si>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</si>
  <si>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</si>
  <si>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</si>
  <si>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</si>
  <si>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</si>
  <si>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</si>
  <si>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</si>
  <si>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</si>
  <si>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</si>
  <si>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</si>
  <si>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</si>
  <si>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</si>
  <si>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</si>
  <si>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</si>
  <si>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</si>
  <si>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</si>
  <si>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</si>
  <si>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</si>
  <si>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</si>
  <si>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</si>
  <si>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</si>
  <si>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</si>
  <si>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</si>
  <si>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</si>
  <si>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</si>
  <si>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</si>
  <si>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</si>
  <si>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</si>
  <si>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</si>
  <si>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</si>
  <si>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</si>
  <si>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</si>
  <si>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</si>
  <si>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</si>
  <si>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</si>
  <si>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</si>
  <si>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</si>
  <si>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</si>
  <si>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</si>
  <si>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</si>
  <si>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</si>
  <si>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</si>
  <si>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</si>
  <si>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</si>
  <si>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</si>
  <si>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</si>
  <si>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</si>
  <si>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</si>
  <si>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</si>
  <si>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</si>
  <si>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</si>
  <si>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</si>
  <si>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</si>
  <si>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</si>
  <si>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</si>
  <si>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</si>
  <si>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</si>
  <si>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</si>
  <si>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</si>
  <si>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</si>
  <si>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</si>
  <si>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</si>
  <si>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</si>
  <si>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</si>
  <si>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</si>
  <si>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</si>
  <si>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</si>
  <si>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</si>
  <si>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</si>
  <si>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</si>
  <si>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</si>
  <si>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</si>
  <si>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</si>
  <si>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</si>
  <si>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</si>
  <si>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</si>
  <si>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</si>
  <si>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</si>
  <si>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</si>
  <si>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</si>
  <si>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</si>
  <si>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</si>
  <si>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</si>
  <si>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</si>
  <si>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</si>
  <si>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</si>
  <si>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</si>
  <si>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</si>
  <si>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</si>
  <si>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</si>
  <si>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</si>
  <si>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</si>
  <si>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</si>
  <si>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</si>
  <si>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</si>
  <si>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</si>
  <si>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</si>
  <si>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</si>
  <si>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</si>
  <si>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</si>
  <si>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</si>
  <si>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</si>
  <si>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</si>
  <si>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</si>
  <si>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</si>
  <si>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</si>
  <si>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</si>
  <si>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</si>
  <si>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</si>
  <si>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</si>
  <si>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</si>
  <si>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</si>
  <si>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</si>
  <si>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</si>
  <si>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</si>
  <si>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</si>
  <si>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</si>
  <si>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</si>
  <si>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</si>
  <si>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</si>
  <si>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</si>
  <si>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</si>
  <si>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</si>
  <si>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</si>
  <si>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</si>
  <si>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</si>
  <si>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</si>
  <si>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</si>
  <si>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</si>
  <si>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</si>
  <si>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</si>
  <si>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</si>
  <si>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</si>
  <si>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</si>
  <si>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</si>
  <si>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</si>
  <si>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</si>
  <si>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</si>
  <si>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</si>
  <si>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</si>
  <si>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</si>
  <si>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</si>
  <si>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</si>
  <si>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</si>
  <si>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</si>
  <si>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</si>
  <si>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</si>
  <si>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</si>
  <si>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</si>
  <si>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</si>
  <si>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</si>
  <si>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</si>
  <si>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</si>
  <si>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</si>
  <si>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</si>
  <si>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</si>
  <si>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</si>
  <si>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</si>
  <si>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</si>
  <si>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</si>
  <si>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</si>
  <si>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</si>
  <si>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</si>
  <si>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</si>
  <si>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</si>
  <si>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</si>
  <si>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</si>
  <si>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</si>
  <si>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</si>
  <si>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</si>
  <si>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</si>
  <si>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</si>
  <si>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</si>
  <si>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</si>
  <si>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</si>
  <si>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</si>
  <si>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</si>
  <si>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</si>
  <si>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</si>
  <si>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</si>
  <si>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</si>
  <si>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</si>
  <si>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</si>
  <si>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</si>
  <si>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</si>
  <si>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</si>
  <si>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</si>
  <si>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</si>
  <si>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</si>
  <si>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</si>
  <si>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</si>
  <si>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</si>
  <si>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</si>
  <si>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</si>
  <si>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</si>
  <si>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</si>
  <si>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</si>
  <si>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</si>
  <si>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</si>
  <si>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</si>
  <si>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</si>
  <si>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</si>
  <si>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</si>
  <si>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</si>
  <si>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</si>
  <si>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</si>
  <si>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</si>
  <si>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</si>
  <si>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</si>
  <si>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</si>
  <si>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</si>
  <si>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</si>
  <si>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</si>
  <si>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</si>
  <si>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</si>
  <si>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</si>
  <si>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</si>
  <si>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</si>
  <si>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</si>
  <si>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</si>
  <si>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</si>
  <si>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</si>
  <si>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</si>
  <si>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</si>
  <si>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</si>
  <si>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</si>
  <si>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</si>
  <si>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</si>
  <si>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</si>
  <si>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</si>
  <si>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</si>
  <si>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</si>
  <si>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</si>
  <si>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</si>
  <si>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</si>
  <si>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</si>
  <si>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</si>
  <si>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</si>
  <si>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</si>
  <si>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</si>
  <si>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</si>
  <si>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</si>
  <si>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</si>
  <si>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</si>
  <si>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</si>
  <si>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</si>
  <si>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</si>
  <si>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</si>
  <si>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</si>
  <si>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</si>
  <si>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</si>
  <si>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</si>
  <si>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</si>
  <si>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</si>
  <si>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</si>
  <si>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</si>
  <si>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</si>
  <si>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</si>
  <si>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</si>
  <si>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</si>
  <si>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</si>
  <si>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</si>
  <si>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</si>
  <si>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</si>
  <si>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</si>
  <si>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</si>
  <si>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</si>
  <si>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</si>
  <si>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</si>
  <si>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</si>
  <si>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</si>
  <si>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</si>
  <si>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</si>
  <si>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</si>
  <si>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</si>
  <si>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</si>
  <si>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</si>
  <si>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</si>
  <si>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</si>
  <si>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</si>
  <si>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</si>
  <si>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</si>
  <si>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</si>
  <si>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</si>
  <si>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</si>
  <si>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</si>
  <si>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</si>
  <si>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</si>
  <si>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</si>
  <si>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</si>
  <si>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</si>
  <si>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</si>
  <si>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</si>
  <si>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</si>
  <si>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</si>
  <si>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</si>
  <si>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</si>
  <si>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</si>
  <si>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</si>
  <si>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</si>
  <si>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</si>
  <si>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</si>
  <si>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</si>
  <si>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</si>
  <si>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</si>
  <si>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</si>
  <si>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</si>
  <si>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</si>
  <si>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</si>
  <si>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</si>
  <si>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</si>
  <si>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</si>
  <si>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</si>
  <si>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</si>
  <si>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</si>
  <si>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</si>
  <si>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</si>
  <si>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</si>
  <si>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</si>
  <si>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</si>
  <si>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</si>
  <si>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</si>
  <si>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</si>
  <si>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</si>
  <si>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</si>
  <si>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</si>
  <si>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</si>
  <si>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</si>
  <si>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</si>
  <si>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</si>
  <si>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</si>
  <si>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</si>
  <si>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</si>
  <si>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</si>
  <si>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</si>
  <si>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</si>
  <si>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</si>
  <si>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</si>
  <si>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</si>
  <si>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</si>
  <si>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</si>
  <si>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</si>
  <si>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</si>
  <si>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</si>
  <si>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</si>
  <si>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</si>
  <si>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</si>
  <si>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</si>
  <si>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</si>
  <si>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</si>
  <si>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</si>
  <si>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</si>
  <si>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</si>
  <si>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</si>
  <si>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</si>
  <si>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</si>
  <si>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</si>
  <si>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</si>
  <si>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</si>
  <si>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</si>
  <si>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</si>
  <si>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</si>
  <si>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</si>
  <si>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</si>
  <si>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</si>
  <si>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</si>
  <si>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</si>
  <si>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</si>
  <si>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</si>
  <si>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</si>
  <si>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</si>
  <si>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</si>
  <si>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</si>
  <si>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</si>
  <si>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</si>
  <si>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</si>
  <si>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</si>
  <si>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</si>
  <si>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</si>
  <si>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</si>
  <si>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</si>
  <si>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</si>
  <si>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</si>
  <si>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</si>
  <si>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</si>
  <si>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</si>
  <si>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</si>
  <si>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</si>
  <si>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</si>
  <si>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</si>
  <si>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</si>
  <si>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</si>
  <si>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</si>
  <si>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</si>
  <si>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</si>
  <si>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</si>
  <si>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</si>
  <si>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</si>
  <si>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</si>
  <si>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</si>
  <si>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</si>
  <si>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</si>
  <si>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</si>
  <si>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</si>
  <si>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</si>
  <si>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</si>
  <si>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</si>
  <si>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</si>
  <si>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</si>
  <si>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</si>
  <si>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</si>
  <si>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</si>
  <si>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</si>
  <si>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</si>
  <si>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</si>
  <si>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</si>
  <si>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</si>
  <si>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</si>
  <si>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</si>
  <si>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</si>
  <si>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</si>
  <si>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</si>
  <si>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</si>
  <si>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</si>
  <si>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</si>
  <si>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</si>
  <si>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</si>
  <si>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</si>
  <si>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</si>
  <si>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</si>
  <si>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</si>
  <si>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</si>
  <si>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</si>
  <si>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</si>
  <si>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</si>
  <si>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</si>
  <si>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</si>
  <si>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</si>
  <si>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</si>
  <si>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</si>
  <si>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</si>
  <si>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</si>
  <si>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</si>
  <si>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</si>
  <si>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</si>
  <si>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</si>
  <si>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</si>
  <si>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</si>
  <si>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</si>
  <si>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</si>
  <si>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</si>
  <si>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</si>
  <si>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</si>
  <si>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</si>
  <si>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</si>
  <si>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</si>
  <si>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</si>
  <si>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</si>
  <si>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</si>
  <si>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</si>
  <si>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</si>
  <si>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</si>
  <si>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</si>
  <si>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</si>
  <si>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</si>
  <si>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</si>
  <si>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</si>
  <si>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</si>
  <si>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</si>
  <si>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</si>
  <si>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</si>
  <si>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</si>
  <si>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</si>
  <si>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</si>
  <si>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</si>
  <si>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</si>
  <si>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</si>
  <si>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</si>
  <si>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</si>
  <si>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</si>
  <si>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</si>
  <si>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</si>
  <si>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</si>
  <si>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</si>
  <si>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</si>
  <si>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</si>
  <si>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</si>
  <si>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</si>
  <si>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</si>
  <si>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</si>
  <si>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</si>
  <si>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</si>
  <si>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</si>
  <si>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</si>
  <si>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</si>
  <si>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</si>
  <si>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</si>
  <si>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</si>
  <si>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</si>
  <si>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</si>
  <si>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</si>
  <si>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</si>
  <si>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</si>
  <si>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</si>
  <si>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</si>
  <si>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</si>
  <si>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</si>
  <si>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</si>
  <si>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</si>
  <si>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</si>
  <si>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</si>
  <si>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</si>
  <si>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</si>
  <si>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</si>
  <si>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</si>
  <si>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</si>
  <si>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</si>
  <si>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</si>
  <si>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</si>
  <si>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</si>
  <si>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</si>
  <si>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</si>
  <si>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</si>
  <si>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</si>
  <si>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</si>
  <si>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</si>
  <si>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</si>
  <si>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</si>
  <si>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</si>
  <si>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</si>
  <si>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</si>
  <si>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</si>
  <si>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</si>
  <si>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</si>
  <si>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</si>
  <si>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</si>
  <si>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</si>
  <si>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</si>
  <si>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</si>
  <si>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</si>
  <si>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</si>
  <si>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</si>
  <si>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</si>
  <si>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</si>
  <si>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</si>
  <si>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</si>
  <si>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</si>
  <si>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</si>
  <si>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</si>
  <si>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</si>
  <si>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</si>
  <si>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</si>
  <si>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</si>
  <si>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</si>
  <si>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</si>
  <si>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</si>
  <si>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</si>
  <si>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</si>
  <si>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</si>
  <si>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</si>
  <si>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</si>
  <si>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</si>
  <si>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</si>
  <si>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</si>
  <si>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</si>
  <si>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</si>
  <si>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</si>
  <si>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</si>
  <si>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</si>
  <si>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</si>
  <si>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</si>
  <si>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</si>
  <si>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</si>
  <si>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</si>
  <si>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</si>
  <si>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</si>
  <si>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</si>
  <si>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</si>
  <si>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</si>
  <si>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</si>
  <si>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</si>
  <si>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</si>
  <si>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</si>
  <si>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</si>
  <si>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</si>
  <si>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</si>
  <si>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</si>
  <si>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</si>
  <si>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</si>
  <si>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</si>
  <si>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</si>
  <si>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</si>
  <si>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</si>
  <si>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</si>
  <si>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</si>
  <si>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</si>
  <si>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</si>
  <si>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</si>
  <si>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</si>
  <si>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</si>
  <si>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</si>
  <si>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</si>
  <si>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</si>
  <si>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</si>
  <si>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</si>
  <si>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</si>
  <si>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</si>
  <si>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</si>
  <si>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</si>
  <si>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</si>
  <si>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</si>
  <si>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</si>
  <si>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</si>
  <si>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</si>
  <si>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</si>
  <si>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</si>
  <si>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</si>
  <si>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</si>
  <si>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</si>
  <si>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</si>
  <si>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</si>
  <si>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</si>
  <si>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</si>
  <si>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</si>
  <si>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</si>
  <si>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</si>
  <si>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</si>
  <si>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</si>
  <si>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</si>
  <si>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</si>
  <si>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</si>
  <si>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</si>
  <si>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</si>
  <si>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</si>
  <si>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</si>
  <si>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</si>
  <si>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</si>
  <si>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</si>
  <si>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</si>
  <si>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</si>
  <si>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</si>
  <si>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</si>
  <si>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</si>
  <si>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</si>
  <si>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</si>
  <si>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</si>
  <si>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</si>
  <si>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</si>
  <si>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</si>
  <si>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</si>
  <si>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</si>
  <si>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</si>
  <si>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</si>
  <si>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</si>
  <si>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</si>
  <si>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</si>
  <si>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</si>
  <si>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</si>
  <si>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</si>
  <si>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</si>
  <si>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</si>
  <si>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</si>
  <si>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</si>
  <si>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</si>
  <si>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</si>
  <si>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</si>
  <si>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</si>
  <si>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</si>
  <si>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</si>
  <si>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</si>
  <si>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</si>
  <si>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</si>
  <si>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</si>
  <si>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</si>
  <si>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</si>
  <si>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</si>
  <si>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</si>
  <si>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</si>
  <si>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</si>
  <si>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</si>
  <si>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</si>
  <si>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</si>
  <si>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</si>
  <si>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</si>
  <si>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</si>
  <si>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</si>
  <si>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</si>
  <si>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</si>
  <si>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</si>
  <si>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</si>
  <si>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</si>
  <si>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</si>
  <si>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</si>
  <si>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</si>
  <si>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</si>
  <si>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</si>
  <si>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</si>
  <si>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</si>
  <si>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</si>
  <si>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</si>
  <si>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</si>
  <si>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</si>
  <si>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</si>
  <si>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</si>
  <si>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</si>
  <si>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</si>
  <si>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</si>
  <si>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</si>
  <si>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</si>
  <si>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</si>
  <si>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</si>
  <si>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</si>
  <si>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</si>
  <si>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</si>
  <si>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</si>
  <si>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</si>
  <si>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</si>
  <si>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</si>
  <si>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</si>
  <si>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</si>
  <si>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</si>
  <si>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</si>
  <si>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</si>
  <si>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</si>
  <si>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</si>
  <si>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</si>
  <si>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</si>
  <si>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</si>
  <si>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</si>
  <si>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</si>
  <si>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</si>
  <si>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</si>
  <si>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</si>
  <si>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</si>
  <si>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</si>
  <si>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</si>
  <si>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</si>
  <si>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</si>
  <si>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</si>
  <si>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</si>
  <si>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</si>
  <si>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</si>
  <si>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</si>
  <si>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</si>
  <si>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</si>
  <si>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</si>
  <si>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</si>
  <si>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</si>
  <si>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</si>
  <si>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</si>
  <si>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</si>
  <si>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</si>
  <si>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</si>
  <si>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</si>
  <si>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</si>
  <si>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</si>
  <si>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</si>
  <si>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</si>
  <si>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</si>
  <si>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</si>
  <si>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</si>
  <si>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</si>
  <si>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</si>
  <si>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</si>
  <si>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</si>
  <si>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</si>
  <si>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</si>
  <si>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</si>
  <si>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</si>
  <si>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</si>
  <si>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</si>
  <si>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</si>
  <si>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</si>
  <si>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</si>
  <si>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</si>
  <si>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</si>
  <si>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</si>
  <si>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</si>
  <si>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</si>
  <si>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</si>
  <si>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</si>
  <si>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</si>
  <si>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</si>
  <si>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</si>
  <si>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</si>
  <si>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</si>
  <si>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</si>
  <si>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</si>
  <si>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</si>
  <si>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</si>
  <si>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</si>
  <si>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</si>
  <si>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</si>
  <si>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</si>
  <si>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</si>
  <si>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</si>
  <si>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</si>
  <si>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</si>
  <si>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</si>
  <si>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</si>
  <si>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</si>
  <si>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</si>
  <si>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</si>
  <si>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</si>
  <si>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</si>
  <si>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</si>
  <si>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</si>
  <si>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</si>
  <si>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</si>
  <si>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</si>
  <si>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</si>
  <si>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</si>
  <si>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</si>
  <si>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</si>
  <si>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</si>
  <si>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</si>
  <si>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</si>
  <si>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</si>
  <si>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</si>
  <si>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</si>
  <si>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</si>
  <si>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</si>
  <si>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</si>
  <si>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</si>
  <si>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</si>
  <si>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</si>
  <si>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</si>
  <si>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</si>
  <si>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</si>
  <si>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</si>
  <si>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</si>
  <si>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</si>
  <si>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</si>
  <si>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</si>
  <si>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</si>
  <si>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</si>
  <si>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</si>
  <si>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</si>
  <si>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</si>
  <si>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</si>
  <si>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</si>
  <si>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</si>
  <si>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</si>
  <si>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</si>
  <si>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</si>
  <si>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</si>
  <si>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</si>
  <si>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</si>
  <si>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</si>
  <si>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</si>
  <si>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</si>
  <si>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</si>
  <si>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</si>
  <si>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</si>
  <si>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</si>
  <si>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</si>
  <si>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</si>
  <si>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</si>
  <si>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</si>
  <si>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</si>
  <si>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</si>
  <si>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</si>
  <si>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</si>
  <si>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</si>
  <si>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</si>
  <si>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</si>
  <si>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</si>
  <si>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</si>
  <si>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</si>
  <si>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</si>
  <si>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</si>
  <si>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</si>
  <si>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</si>
  <si>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</si>
  <si>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</si>
  <si>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</si>
  <si>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</si>
  <si>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</si>
  <si>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</si>
  <si>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</si>
  <si>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</si>
  <si>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</si>
  <si>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</si>
  <si>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</si>
  <si>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</si>
  <si>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</si>
  <si>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</si>
  <si>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</si>
  <si>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</si>
  <si>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</si>
  <si>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</si>
  <si>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</si>
  <si>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</si>
  <si>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</si>
  <si>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</si>
  <si>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</si>
  <si>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</si>
  <si>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</si>
  <si>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</si>
  <si>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</si>
  <si>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</si>
  <si>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</si>
  <si>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</si>
  <si>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</si>
  <si>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</si>
  <si>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</si>
  <si>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</si>
  <si>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</si>
  <si>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</si>
  <si>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</si>
  <si>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</si>
  <si>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</si>
  <si>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</si>
  <si>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</si>
  <si>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</si>
  <si>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</si>
  <si>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</si>
  <si>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</si>
  <si>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</si>
  <si>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</si>
  <si>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</si>
  <si>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</si>
  <si>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</si>
  <si>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</si>
  <si>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</si>
  <si>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</si>
  <si>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</si>
  <si>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</si>
  <si>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</si>
  <si>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</si>
  <si>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</si>
  <si>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</si>
  <si>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</si>
  <si>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</si>
  <si>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</si>
  <si>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</si>
  <si>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</si>
  <si>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</si>
  <si>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</si>
  <si>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</si>
  <si>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</si>
  <si>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</si>
  <si>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</si>
  <si>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</si>
  <si>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</si>
  <si>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</si>
  <si>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</si>
  <si>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</si>
  <si>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</si>
  <si>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</si>
  <si>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</si>
  <si>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</si>
  <si>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</si>
  <si>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</si>
  <si>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</si>
  <si>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</si>
  <si>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</si>
  <si>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</si>
  <si>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</si>
  <si>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</si>
  <si>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</si>
  <si>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</si>
  <si>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</si>
  <si>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</si>
  <si>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</si>
  <si>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</si>
  <si>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</si>
  <si>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</si>
  <si>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</si>
  <si>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</si>
  <si>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</si>
  <si>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</si>
  <si>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</si>
  <si>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</si>
  <si>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</si>
  <si>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</si>
  <si>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</si>
  <si>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</si>
  <si>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</si>
  <si>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</si>
  <si>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</si>
  <si>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</si>
  <si>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</si>
  <si>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</si>
  <si>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</si>
  <si>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</si>
  <si>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</si>
  <si>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</si>
  <si>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</si>
  <si>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</si>
  <si>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</si>
  <si>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</si>
  <si>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</si>
  <si>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</si>
  <si>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</si>
  <si>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</si>
  <si>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</si>
  <si>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</si>
  <si>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</si>
  <si>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</si>
  <si>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</si>
  <si>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</si>
  <si>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</si>
  <si>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</si>
  <si>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</si>
  <si>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</si>
  <si>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</si>
  <si>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</si>
  <si>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</si>
  <si>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</si>
  <si>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</si>
  <si>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</si>
  <si>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</si>
  <si>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</si>
  <si>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</si>
  <si>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</si>
  <si>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</si>
  <si>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</si>
  <si>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</si>
  <si>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</si>
  <si>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</si>
  <si>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</si>
  <si>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</si>
  <si>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</si>
  <si>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</si>
  <si>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</si>
  <si>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</si>
  <si>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</si>
  <si>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</si>
  <si>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</si>
  <si>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</si>
  <si>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</si>
  <si>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</si>
  <si>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</si>
  <si>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</si>
  <si>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</si>
  <si>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</si>
  <si>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</si>
  <si>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</si>
  <si>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</si>
  <si>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</si>
  <si>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</si>
  <si>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</si>
  <si>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</si>
  <si>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</si>
  <si>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</si>
  <si>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</si>
  <si>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</si>
  <si>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</si>
  <si>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</si>
  <si>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</si>
  <si>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</si>
  <si>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</si>
  <si>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</si>
  <si>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</si>
  <si>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</si>
  <si>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</si>
  <si>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</si>
  <si>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</si>
  <si>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</si>
  <si>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</si>
  <si>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</si>
  <si>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</si>
  <si>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</si>
  <si>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</si>
  <si>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</si>
  <si>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</si>
  <si>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</si>
  <si>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</si>
  <si>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</si>
  <si>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</si>
  <si>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</si>
  <si>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</si>
  <si>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</si>
  <si>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</si>
  <si>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</si>
  <si>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</si>
  <si>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</si>
  <si>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</si>
  <si>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</si>
  <si>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</si>
  <si>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</si>
  <si>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</si>
  <si>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</si>
  <si>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</si>
  <si>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</si>
  <si>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</si>
  <si>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</si>
  <si>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</si>
  <si>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</si>
  <si>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</si>
  <si>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</si>
  <si>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</si>
  <si>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</si>
  <si>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</si>
  <si>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</si>
  <si>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</si>
  <si>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</si>
  <si>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</si>
  <si>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</si>
  <si>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</si>
  <si>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</si>
  <si>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</si>
  <si>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</si>
  <si>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</si>
  <si>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</si>
  <si>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</si>
  <si>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</si>
  <si>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</si>
  <si>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</si>
  <si>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</si>
  <si>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</si>
  <si>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</si>
  <si>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</si>
  <si>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</si>
  <si>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</si>
  <si>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</si>
  <si>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</si>
  <si>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</si>
  <si>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</si>
  <si>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</si>
  <si>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</si>
  <si>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</si>
  <si>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</si>
  <si>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</si>
  <si>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</si>
  <si>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</si>
  <si>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</si>
  <si>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</si>
  <si>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</si>
  <si>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</si>
  <si>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</si>
  <si>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</si>
  <si>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</si>
  <si>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</si>
  <si>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</si>
  <si>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</si>
  <si>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</si>
  <si>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</si>
  <si>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</si>
  <si>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</si>
  <si>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</si>
  <si>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</si>
  <si>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</si>
  <si>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</si>
  <si>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</si>
  <si>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</si>
  <si>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</si>
  <si>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</si>
  <si>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</si>
  <si>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</si>
  <si>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</si>
  <si>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</si>
  <si>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</si>
  <si>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</si>
  <si>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</si>
  <si>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</si>
  <si>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</si>
  <si>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</si>
  <si>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</si>
  <si>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</si>
  <si>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</si>
  <si>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</si>
  <si>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</si>
  <si>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</si>
  <si>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</si>
  <si>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</si>
  <si>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</si>
  <si>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</si>
  <si>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</si>
  <si>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</si>
  <si>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</si>
  <si>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</si>
  <si>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</si>
  <si>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</si>
  <si>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</si>
  <si>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</si>
  <si>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</si>
  <si>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</si>
  <si>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</si>
  <si>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</si>
  <si>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</si>
  <si>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</si>
  <si>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</si>
  <si>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</si>
  <si>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</si>
  <si>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</si>
  <si>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</si>
  <si>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</si>
  <si>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</si>
  <si>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</si>
  <si>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</si>
  <si>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</si>
  <si>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</si>
  <si>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</si>
  <si>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</si>
  <si>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</si>
  <si>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</si>
  <si>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</si>
  <si>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</si>
  <si>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</si>
  <si>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</si>
  <si>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</si>
  <si>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</si>
  <si>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</si>
  <si>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</si>
  <si>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</si>
  <si>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</si>
  <si>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</si>
  <si>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</si>
  <si>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</si>
  <si>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</si>
  <si>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</si>
  <si>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</si>
  <si>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</si>
  <si>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</si>
  <si>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</si>
  <si>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</si>
  <si>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</si>
  <si>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</si>
  <si>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</si>
  <si>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</si>
  <si>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</si>
  <si>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</si>
  <si>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</si>
  <si>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</si>
  <si>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</si>
  <si>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</si>
  <si>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</si>
  <si>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</si>
  <si>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</si>
  <si>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</si>
  <si>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</si>
  <si>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</si>
  <si>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</si>
  <si>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</si>
  <si>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</si>
  <si>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</si>
  <si>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</si>
  <si>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</si>
  <si>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</si>
  <si>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</si>
  <si>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</si>
  <si>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</si>
  <si>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</si>
  <si>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</si>
  <si>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</si>
  <si>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</si>
  <si>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</si>
  <si>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</si>
  <si>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</si>
  <si>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</si>
  <si>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</si>
  <si>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</si>
  <si>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</si>
  <si>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</si>
  <si>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</si>
  <si>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</si>
  <si>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</si>
  <si>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</si>
  <si>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</si>
  <si>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</si>
  <si>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</si>
  <si>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</si>
  <si>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</si>
  <si>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</si>
  <si>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</si>
  <si>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</si>
  <si>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</si>
  <si>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</si>
  <si>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</si>
  <si>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</si>
  <si>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</si>
  <si>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</si>
  <si>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</si>
  <si>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</si>
  <si>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</si>
  <si>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</si>
  <si>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</si>
  <si>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</si>
  <si>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</si>
  <si>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</si>
  <si>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</si>
  <si>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</si>
  <si>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</si>
  <si>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</si>
  <si>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</si>
  <si>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</si>
  <si>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</si>
  <si>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</si>
  <si>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</si>
  <si>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</si>
  <si>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</si>
  <si>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</si>
  <si>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</si>
  <si>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</si>
  <si>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</si>
  <si>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</si>
  <si>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</si>
  <si>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</si>
  <si>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</si>
  <si>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</si>
  <si>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</si>
  <si>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</si>
  <si>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</si>
  <si>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</si>
  <si>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</si>
  <si>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</si>
  <si>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</si>
  <si>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</si>
  <si>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</si>
  <si>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</si>
  <si>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</si>
  <si>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</si>
  <si>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</si>
  <si>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</si>
  <si>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</si>
  <si>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</si>
  <si>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</si>
  <si>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</si>
  <si>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</si>
  <si>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</si>
  <si>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</si>
  <si>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</si>
  <si>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</si>
  <si>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</si>
  <si>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</si>
  <si>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</si>
  <si>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</si>
  <si>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</si>
  <si>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</si>
  <si>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</si>
  <si>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</si>
  <si>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</si>
  <si>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</si>
  <si>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</si>
  <si>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</si>
  <si>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</si>
  <si>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</si>
  <si>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</si>
  <si>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</si>
  <si>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</si>
  <si>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</si>
  <si>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</si>
  <si>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</si>
  <si>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</si>
  <si>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</si>
  <si>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</si>
  <si>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</si>
  <si>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</si>
  <si>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</si>
  <si>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</si>
  <si>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</si>
  <si>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</si>
  <si>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</si>
  <si>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</si>
  <si>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</si>
  <si>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</si>
  <si>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</si>
  <si>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</si>
  <si>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</si>
  <si>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</si>
  <si>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</si>
  <si>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</si>
  <si>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</si>
  <si>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</si>
  <si>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</si>
  <si>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</si>
  <si>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</si>
  <si>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</si>
  <si>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</si>
  <si>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</si>
  <si>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</si>
  <si>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</si>
  <si>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</si>
  <si>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</si>
  <si>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</si>
  <si>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</si>
  <si>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</si>
  <si>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</si>
  <si>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</si>
  <si>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</si>
  <si>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</si>
  <si>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</si>
  <si>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</si>
  <si>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</si>
  <si>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</si>
  <si>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</si>
  <si>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</si>
  <si>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</si>
  <si>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</si>
  <si>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</si>
  <si>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</si>
  <si>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</si>
  <si>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</si>
  <si>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</si>
  <si>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</si>
  <si>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</si>
  <si>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</si>
  <si>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</si>
  <si>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</si>
  <si>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</si>
  <si>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</si>
  <si>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</si>
  <si>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</si>
  <si>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</si>
  <si>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</si>
  <si>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</si>
  <si>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</si>
  <si>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</si>
  <si>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</si>
  <si>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</si>
  <si>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</si>
  <si>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</si>
  <si>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</si>
  <si>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</si>
  <si>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</si>
  <si>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</si>
  <si>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</si>
  <si>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</si>
  <si>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</si>
  <si>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</si>
  <si>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</si>
  <si>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</si>
  <si>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</si>
  <si>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</si>
  <si>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</si>
  <si>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</si>
  <si>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</si>
  <si>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</si>
  <si>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</si>
  <si>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</si>
  <si>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</si>
  <si>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</si>
  <si>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</si>
  <si>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</si>
  <si>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</si>
  <si>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</si>
  <si>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</si>
  <si>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</si>
  <si>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</si>
  <si>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</si>
  <si>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</si>
  <si>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</si>
  <si>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</si>
  <si>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</si>
  <si>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</si>
  <si>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</si>
  <si>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</si>
  <si>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</si>
  <si>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</si>
  <si>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</si>
  <si>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</si>
  <si>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</si>
  <si>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</si>
  <si>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</si>
  <si>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</si>
  <si>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</si>
  <si>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</si>
  <si>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</si>
  <si>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</si>
  <si>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</si>
  <si>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</si>
  <si>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</si>
  <si>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</si>
  <si>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</si>
  <si>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</si>
  <si>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</si>
  <si>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</si>
  <si>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</si>
  <si>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</si>
  <si>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</si>
  <si>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</si>
  <si>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</si>
  <si>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</si>
  <si>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</si>
  <si>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</si>
  <si>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</si>
  <si>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</si>
  <si>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</si>
  <si>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</si>
  <si>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</si>
  <si>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</si>
  <si>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</si>
  <si>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</si>
  <si>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</si>
  <si>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</si>
  <si>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</si>
  <si>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</si>
  <si>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</si>
  <si>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</si>
  <si>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</si>
  <si>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</si>
  <si>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</si>
  <si>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</si>
  <si>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</si>
  <si>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</si>
  <si>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</si>
  <si>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</si>
  <si>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</si>
  <si>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</si>
  <si>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</si>
  <si>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</si>
  <si>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</si>
  <si>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</si>
  <si>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</si>
  <si>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</si>
  <si>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</si>
  <si>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</si>
  <si>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</si>
  <si>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</si>
  <si>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</si>
  <si>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</si>
  <si>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</si>
  <si>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</si>
  <si>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</si>
  <si>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</si>
  <si>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</si>
  <si>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</si>
  <si>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</si>
  <si>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</si>
  <si>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</si>
  <si>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</si>
  <si>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</si>
  <si>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</si>
  <si>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</si>
  <si>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</si>
  <si>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</si>
  <si>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</si>
  <si>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</si>
  <si>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</si>
  <si>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</si>
  <si>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</si>
  <si>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</si>
  <si>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</si>
  <si>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</si>
  <si>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</si>
  <si>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</si>
  <si>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</si>
  <si>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</si>
  <si>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</si>
  <si>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</si>
  <si>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</si>
  <si>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</si>
  <si>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</si>
  <si>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</si>
  <si>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</si>
  <si>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</si>
  <si>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</si>
  <si>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</si>
  <si>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</si>
  <si>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</si>
  <si>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</si>
  <si>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</si>
  <si>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</si>
  <si>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</si>
  <si>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</si>
  <si>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</si>
  <si>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</si>
  <si>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</si>
  <si>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</si>
  <si>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</si>
  <si>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</si>
  <si>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</si>
  <si>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</si>
  <si>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</si>
  <si>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</si>
  <si>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</si>
  <si>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</si>
  <si>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</si>
  <si>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</si>
  <si>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</si>
  <si>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</si>
  <si>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</si>
  <si>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</si>
  <si>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</si>
  <si>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</si>
  <si>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</si>
  <si>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</si>
  <si>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</si>
  <si>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</si>
  <si>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</si>
  <si>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</si>
  <si>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</si>
  <si>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</si>
  <si>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</si>
  <si>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</si>
  <si>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</si>
  <si>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</si>
  <si>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</si>
  <si>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</si>
  <si>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</si>
  <si>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</si>
  <si>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</si>
  <si>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</si>
  <si>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</si>
  <si>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</si>
  <si>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</si>
  <si>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</si>
  <si>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</si>
  <si>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</si>
  <si>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</si>
  <si>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</si>
  <si>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</si>
  <si>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</si>
  <si>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</si>
  <si>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</si>
  <si>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</si>
  <si>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</si>
  <si>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</si>
  <si>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</si>
  <si>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</si>
  <si>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</si>
  <si>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</si>
  <si>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</si>
  <si>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</si>
  <si>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</si>
  <si>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</si>
  <si>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</si>
  <si>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</si>
  <si>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</si>
  <si>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</si>
  <si>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</si>
  <si>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</si>
  <si>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</si>
  <si>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</si>
  <si>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</si>
  <si>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</si>
  <si>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</si>
  <si>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</si>
  <si>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</si>
  <si>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</si>
  <si>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</si>
  <si>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</si>
  <si>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</si>
  <si>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</si>
  <si>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</si>
  <si>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</si>
  <si>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</si>
  <si>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</si>
  <si>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</si>
  <si>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</si>
  <si>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</si>
  <si>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</si>
  <si>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</si>
  <si>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</si>
  <si>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</si>
  <si>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</si>
  <si>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</si>
  <si>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</si>
  <si>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</si>
  <si>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</si>
  <si>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</si>
  <si>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</si>
  <si>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</si>
  <si>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</si>
  <si>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</si>
  <si>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</si>
  <si>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</si>
  <si>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</si>
  <si>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</si>
  <si>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</si>
  <si>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</si>
  <si>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</si>
  <si>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</si>
  <si>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</si>
  <si>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</si>
  <si>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</si>
  <si>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</si>
  <si>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</si>
  <si>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</si>
  <si>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</si>
  <si>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</si>
  <si>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</si>
  <si>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</si>
  <si>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</si>
  <si>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</si>
  <si>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</si>
  <si>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</si>
  <si>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</si>
  <si>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</si>
  <si>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</si>
  <si>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</si>
  <si>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</si>
  <si>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</si>
  <si>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</si>
  <si>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</si>
  <si>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</si>
  <si>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</si>
  <si>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</si>
  <si>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</si>
  <si>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</si>
  <si>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</si>
  <si>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</si>
  <si>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</si>
  <si>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</si>
  <si>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</si>
  <si>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</si>
  <si>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</si>
  <si>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</si>
  <si>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</si>
  <si>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</si>
  <si>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</si>
  <si>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</si>
  <si>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</si>
  <si>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</si>
  <si>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</si>
  <si>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</si>
  <si>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</si>
  <si>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</si>
  <si>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</si>
  <si>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</si>
  <si>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</si>
  <si>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</si>
  <si>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</si>
  <si>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</si>
  <si>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</si>
  <si>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</si>
  <si>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</si>
  <si>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</si>
  <si>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</si>
  <si>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</si>
  <si>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</si>
  <si>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</si>
  <si>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</si>
  <si>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</si>
  <si>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</si>
  <si>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</si>
  <si>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</si>
  <si>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</si>
  <si>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</si>
  <si>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</si>
  <si>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</si>
  <si>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</si>
  <si>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</si>
  <si>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</si>
  <si>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</si>
  <si>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</si>
  <si>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</si>
  <si>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</si>
  <si>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</si>
  <si>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</si>
  <si>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</si>
  <si>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</si>
  <si>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</si>
  <si>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</si>
  <si>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</si>
  <si>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</si>
  <si>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</si>
  <si>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</si>
  <si>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</si>
  <si>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</si>
  <si>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</si>
  <si>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</si>
  <si>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</si>
  <si>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</si>
  <si>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</si>
  <si>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</si>
  <si>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</si>
  <si>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</si>
  <si>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</si>
  <si>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</si>
  <si>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</si>
  <si>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</si>
  <si>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</si>
  <si>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</si>
  <si>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</si>
  <si>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</si>
  <si>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</si>
  <si>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</si>
  <si>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</si>
  <si>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</si>
  <si>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</si>
  <si>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</si>
  <si>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</si>
  <si>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</si>
  <si>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</si>
  <si>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</si>
  <si>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</si>
  <si>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</si>
  <si>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</si>
  <si>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</si>
  <si>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</si>
  <si>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</si>
  <si>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</si>
  <si>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</si>
  <si>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</si>
  <si>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</si>
  <si>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</si>
  <si>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</si>
  <si>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</si>
  <si>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</si>
  <si>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</si>
  <si>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</si>
  <si>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</si>
  <si>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</si>
  <si>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</si>
  <si>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</si>
  <si>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</si>
  <si>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</si>
  <si>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</si>
  <si>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</si>
  <si>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</si>
  <si>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</si>
  <si>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</si>
  <si>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</si>
  <si>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</si>
  <si>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</si>
  <si>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</si>
  <si>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</si>
  <si>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</si>
  <si>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</si>
  <si>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</si>
  <si>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</si>
  <si>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</si>
  <si>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</si>
  <si>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</si>
  <si>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</si>
  <si>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</si>
  <si>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</si>
  <si>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</si>
  <si>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</si>
  <si>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</si>
  <si>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</si>
  <si>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</si>
  <si>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</si>
  <si>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</si>
  <si>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</si>
  <si>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</si>
  <si>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</si>
  <si>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</si>
  <si>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</si>
  <si>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</si>
  <si>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</si>
  <si>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</si>
  <si>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</si>
  <si>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</si>
  <si>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</si>
  <si>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</si>
  <si>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</si>
  <si>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</si>
  <si>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</si>
  <si>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</si>
  <si>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</si>
  <si>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</si>
  <si>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</si>
  <si>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</si>
  <si>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</si>
  <si>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</si>
  <si>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</si>
  <si>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</si>
  <si>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</si>
  <si>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</si>
  <si>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</si>
  <si>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</si>
  <si>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</si>
  <si>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</si>
  <si>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</si>
  <si>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</si>
  <si>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</si>
  <si>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</si>
  <si>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</si>
  <si>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</si>
  <si>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</si>
  <si>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</si>
  <si>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</si>
  <si>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</si>
  <si>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</si>
  <si>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</si>
  <si>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</si>
  <si>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</si>
  <si>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</si>
  <si>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</si>
  <si>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</si>
  <si>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</si>
  <si>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</si>
  <si>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</si>
  <si>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</si>
  <si>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</si>
  <si>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</si>
  <si>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</si>
  <si>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</si>
  <si>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</si>
  <si>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</si>
  <si>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</si>
  <si>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</si>
  <si>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</si>
  <si>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</si>
  <si>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</si>
  <si>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</si>
  <si>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</si>
  <si>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</si>
  <si>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</si>
  <si>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</si>
  <si>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</si>
  <si>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</si>
  <si>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</si>
  <si>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</si>
  <si>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</si>
  <si>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</si>
  <si>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</si>
  <si>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</si>
  <si>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</si>
  <si>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</si>
  <si>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</si>
  <si>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</si>
  <si>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</si>
  <si>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</si>
  <si>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</si>
  <si>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</si>
  <si>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</si>
  <si>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</si>
  <si>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</si>
  <si>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</si>
  <si>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</si>
  <si>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</si>
  <si>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</si>
  <si>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</si>
  <si>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</si>
  <si>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</si>
  <si>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</si>
  <si>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</si>
  <si>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</si>
  <si>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</si>
  <si>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</si>
  <si>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</si>
  <si>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</si>
  <si>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</si>
  <si>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</si>
  <si>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</si>
  <si>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</si>
  <si>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</si>
  <si>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</si>
  <si>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</si>
  <si>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</si>
  <si>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</si>
  <si>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</si>
  <si>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</si>
  <si>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</si>
  <si>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</si>
  <si>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</si>
  <si>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</si>
  <si>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</si>
  <si>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</si>
  <si>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</si>
  <si>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</si>
  <si>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</si>
  <si>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</si>
  <si>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</si>
  <si>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</si>
  <si>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</si>
  <si>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</si>
  <si>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</si>
  <si>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</si>
  <si>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</si>
  <si>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</si>
  <si>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</si>
  <si>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</si>
  <si>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</si>
  <si>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</si>
  <si>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</si>
  <si>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</si>
  <si>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</si>
  <si>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</si>
  <si>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</si>
  <si>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</si>
  <si>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</si>
  <si>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</si>
  <si>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</si>
  <si>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</si>
  <si>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</si>
  <si>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</si>
  <si>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</si>
  <si>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</si>
  <si>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</si>
  <si>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</si>
  <si>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</si>
  <si>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</si>
  <si>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</si>
  <si>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</si>
  <si>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</si>
  <si>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</si>
  <si>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</si>
  <si>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</si>
  <si>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</si>
  <si>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</si>
  <si>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</si>
  <si>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</si>
  <si>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</si>
  <si>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</si>
  <si>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</si>
  <si>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</si>
  <si>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</si>
  <si>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</si>
  <si>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</si>
  <si>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</si>
  <si>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</si>
  <si>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</si>
  <si>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</si>
  <si>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</si>
  <si>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</si>
  <si>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</si>
  <si>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</si>
  <si>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</si>
  <si>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</si>
  <si>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</si>
  <si>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</si>
  <si>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</si>
  <si>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</si>
  <si>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</si>
  <si>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</si>
  <si>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</si>
  <si>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</si>
  <si>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</si>
  <si>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</si>
  <si>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</si>
  <si>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</si>
  <si>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</si>
  <si>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</si>
  <si>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</si>
  <si>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</si>
  <si>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</si>
  <si>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</si>
  <si>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</si>
  <si>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</si>
  <si>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</si>
  <si>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</si>
  <si>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</si>
  <si>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</si>
  <si>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</si>
  <si>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</si>
  <si>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</si>
  <si>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</si>
  <si>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</si>
  <si>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</si>
  <si>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</si>
  <si>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</si>
  <si>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</si>
  <si>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</si>
  <si>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</si>
  <si>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</si>
  <si>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</si>
  <si>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</si>
  <si>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</si>
  <si>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</si>
  <si>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</si>
  <si>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</si>
  <si>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</si>
  <si>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</si>
  <si>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</si>
  <si>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</si>
  <si>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</si>
  <si>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</si>
  <si>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</si>
  <si>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</si>
  <si>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</si>
  <si>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</si>
  <si>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</si>
  <si>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</si>
  <si>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</si>
  <si>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</si>
  <si>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</si>
  <si>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</si>
  <si>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</si>
  <si>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</si>
  <si>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</si>
  <si>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</si>
  <si>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</si>
  <si>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</si>
  <si>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</si>
  <si>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</si>
  <si>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</si>
  <si>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</si>
  <si>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</si>
  <si>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</si>
  <si>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</si>
  <si>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</si>
  <si>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</si>
  <si>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</si>
  <si>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</si>
  <si>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</si>
  <si>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</si>
  <si>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</si>
  <si>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</si>
  <si>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</si>
  <si>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</si>
  <si>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</si>
  <si>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</si>
  <si>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</si>
  <si>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</si>
  <si>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</si>
  <si>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</si>
  <si>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</si>
  <si>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</si>
  <si>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</si>
  <si>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</si>
  <si>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</si>
  <si>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</si>
  <si>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</si>
  <si>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</si>
  <si>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</si>
  <si>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</si>
  <si>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</si>
  <si>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</si>
  <si>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</si>
  <si>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</si>
  <si>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</si>
  <si>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</si>
  <si>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</si>
  <si>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</si>
  <si>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</si>
  <si>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</si>
  <si>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</si>
  <si>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</si>
  <si>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</si>
  <si>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</si>
  <si>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</si>
  <si>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</si>
  <si>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</si>
  <si>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</si>
  <si>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</si>
  <si>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</si>
  <si>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</si>
  <si>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</si>
  <si>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</si>
  <si>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</si>
  <si>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</si>
  <si>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</si>
  <si>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</si>
  <si>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</si>
  <si>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</si>
  <si>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</si>
  <si>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</si>
  <si>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</si>
  <si>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</si>
  <si>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</si>
  <si>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</si>
  <si>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</si>
  <si>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</si>
  <si>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</si>
  <si>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</si>
  <si>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</si>
  <si>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</si>
  <si>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</si>
  <si>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</si>
  <si>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</si>
  <si>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</si>
  <si>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</si>
  <si>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</si>
  <si>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</si>
  <si>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</si>
  <si>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</si>
  <si>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</si>
  <si>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</si>
  <si>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</si>
  <si>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</si>
  <si>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</si>
  <si>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</si>
  <si>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</si>
  <si>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</si>
  <si>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</si>
  <si>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</si>
  <si>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</si>
  <si>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</si>
  <si>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</si>
  <si>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</si>
  <si>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</si>
  <si>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</si>
  <si>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</si>
  <si>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</si>
  <si>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</si>
  <si>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</si>
  <si>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</si>
  <si>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</si>
  <si>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</si>
  <si>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</si>
  <si>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</si>
  <si>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</si>
  <si>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</si>
  <si>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</si>
  <si>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</si>
  <si>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</si>
  <si>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</si>
  <si>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</si>
  <si>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</si>
  <si>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</si>
  <si>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</si>
  <si>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</si>
  <si>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</si>
  <si>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</si>
  <si>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</si>
  <si>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</si>
  <si>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</si>
  <si>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</si>
  <si>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</si>
  <si>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</si>
  <si>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</si>
  <si>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</si>
  <si>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</si>
  <si>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</si>
  <si>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</si>
  <si>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</si>
  <si>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</si>
  <si>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</si>
  <si>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</si>
  <si>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</si>
  <si>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</si>
  <si>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</si>
  <si>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</si>
  <si>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</si>
  <si>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</si>
  <si>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</si>
  <si>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</si>
  <si>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</si>
  <si>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</si>
  <si>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</si>
  <si>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</si>
  <si>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</si>
  <si>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</si>
  <si>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</si>
  <si>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</si>
  <si>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</si>
  <si>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</si>
  <si>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</si>
  <si>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</si>
  <si>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</si>
  <si>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</si>
  <si>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</si>
  <si>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</si>
  <si>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</si>
  <si>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</si>
  <si>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</si>
  <si>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</si>
  <si>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</si>
  <si>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</si>
  <si>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</si>
  <si>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</si>
  <si>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</si>
  <si>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</si>
  <si>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</si>
  <si>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</si>
  <si>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</si>
  <si>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</si>
  <si>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</si>
  <si>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</si>
  <si>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</si>
  <si>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</si>
  <si>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</si>
  <si>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</si>
  <si>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</si>
  <si>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</si>
  <si>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</si>
  <si>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</si>
  <si>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</si>
  <si>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</si>
  <si>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</si>
  <si>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</si>
  <si>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</si>
  <si>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</si>
  <si>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</si>
  <si>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</si>
  <si>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</si>
  <si>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</si>
  <si>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</si>
  <si>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</si>
  <si>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</si>
  <si>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</si>
  <si>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</si>
  <si>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</si>
  <si>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</si>
  <si>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</si>
  <si>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</si>
  <si>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</si>
  <si>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</si>
  <si>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</si>
  <si>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</si>
  <si>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</si>
  <si>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</si>
  <si>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</si>
  <si>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</si>
  <si>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</si>
  <si>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</si>
  <si>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</si>
  <si>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</si>
  <si>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</si>
  <si>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</si>
  <si>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</si>
  <si>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</si>
  <si>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</si>
  <si>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</si>
  <si>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</si>
  <si>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</si>
  <si>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</si>
  <si>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</si>
  <si>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</si>
  <si>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</si>
  <si>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</si>
  <si>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</si>
  <si>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</si>
  <si>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</si>
  <si>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</si>
  <si>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</si>
  <si>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</si>
  <si>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</si>
  <si>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</si>
  <si>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</si>
  <si>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</si>
  <si>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</si>
  <si>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</si>
  <si>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</si>
  <si>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</si>
  <si>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</si>
  <si>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</si>
  <si>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</si>
  <si>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</si>
  <si>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</si>
  <si>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</si>
  <si>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</si>
  <si>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</si>
  <si>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</si>
  <si>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</si>
  <si>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</si>
  <si>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</si>
  <si>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</si>
  <si>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</si>
  <si>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</si>
  <si>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</si>
  <si>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</si>
  <si>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</si>
  <si>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</si>
  <si>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</si>
  <si>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</si>
  <si>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</si>
  <si>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</si>
  <si>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</si>
  <si>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</si>
  <si>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</si>
  <si>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</si>
  <si>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</si>
  <si>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</si>
  <si>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</si>
  <si>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</si>
  <si>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</si>
  <si>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</si>
  <si>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</si>
  <si>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</si>
  <si>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</si>
  <si>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</si>
  <si>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</si>
  <si>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</si>
  <si>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</si>
  <si>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</si>
  <si>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</si>
  <si>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</si>
  <si>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</si>
  <si>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</si>
  <si>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</si>
  <si>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</si>
  <si>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</si>
  <si>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</si>
  <si>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</si>
  <si>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</si>
  <si>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</si>
  <si>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</si>
  <si>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</si>
  <si>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</si>
  <si>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</si>
  <si>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</si>
  <si>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</si>
  <si>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</si>
  <si>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</si>
  <si>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</si>
  <si>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</si>
  <si>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</si>
  <si>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</si>
  <si>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</si>
  <si>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</si>
  <si>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</si>
  <si>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</si>
  <si>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</si>
  <si>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</si>
  <si>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</si>
  <si>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</si>
  <si>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</si>
  <si>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</si>
  <si>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</si>
  <si>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</si>
  <si>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</si>
  <si>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</si>
  <si>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</si>
  <si>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</si>
  <si>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</si>
  <si>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</si>
  <si>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</si>
  <si>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</si>
  <si>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</si>
  <si>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</si>
  <si>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</si>
  <si>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</si>
  <si>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</si>
  <si>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</si>
  <si>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</si>
  <si>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</si>
  <si>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</si>
  <si>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</si>
  <si>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</si>
  <si>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</si>
  <si>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</si>
  <si>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</si>
  <si>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</si>
  <si>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</si>
  <si>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</si>
  <si>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</si>
  <si>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</si>
  <si>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</si>
  <si>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</si>
  <si>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</si>
  <si>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</si>
  <si>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</si>
  <si>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</si>
  <si>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</si>
  <si>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</si>
  <si>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</si>
  <si>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</si>
  <si>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</si>
  <si>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</si>
  <si>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</si>
  <si>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</si>
  <si>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</si>
  <si>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</si>
  <si>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</si>
  <si>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</si>
  <si>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</si>
  <si>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</si>
  <si>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</si>
  <si>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</si>
  <si>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</si>
  <si>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</si>
  <si>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</si>
  <si>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</si>
  <si>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</si>
  <si>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</si>
  <si>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</si>
  <si>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</si>
  <si>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</si>
  <si>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</si>
  <si>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</si>
  <si>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</si>
  <si>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</si>
  <si>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</si>
  <si>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</si>
  <si>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</si>
  <si>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</si>
  <si>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</si>
  <si>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</si>
  <si>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</si>
  <si>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</si>
  <si>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</si>
  <si>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</si>
  <si>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</si>
  <si>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</si>
  <si>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</si>
  <si>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</si>
  <si>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</si>
  <si>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</si>
  <si>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</si>
  <si>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</si>
  <si>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</si>
  <si>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</si>
  <si>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</si>
  <si>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</si>
  <si>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</si>
  <si>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</si>
  <si>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</si>
  <si>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</si>
  <si>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</si>
  <si>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</si>
  <si>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</si>
  <si>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</si>
  <si>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</si>
  <si>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</si>
  <si>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</si>
  <si>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</si>
  <si>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</si>
  <si>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</si>
  <si>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</si>
  <si>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</si>
  <si>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</si>
  <si>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</si>
  <si>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</si>
  <si>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</si>
  <si>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</si>
  <si>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</si>
  <si>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</si>
  <si>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</si>
  <si>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</si>
  <si>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</si>
  <si>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</si>
  <si>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</si>
  <si>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</si>
  <si>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</si>
  <si>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</si>
  <si>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</si>
  <si>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</si>
  <si>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</si>
  <si>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</si>
  <si>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</si>
  <si>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</si>
  <si>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</si>
  <si>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</si>
  <si>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</si>
  <si>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</si>
  <si>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</si>
  <si>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</si>
  <si>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</si>
  <si>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</si>
  <si>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</si>
  <si>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</si>
  <si>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</si>
  <si>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</si>
  <si>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</si>
  <si>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</si>
  <si>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</si>
  <si>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</si>
  <si>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</si>
  <si>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</si>
  <si>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</si>
  <si>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</si>
  <si>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</si>
  <si>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</si>
  <si>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</si>
  <si>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</si>
  <si>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</si>
  <si>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</si>
  <si>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</si>
  <si>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</si>
  <si>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</si>
  <si>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</si>
  <si>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</si>
  <si>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</si>
  <si>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</si>
  <si>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</si>
  <si>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</si>
  <si>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</si>
  <si>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</si>
  <si>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</si>
  <si>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</si>
  <si>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</si>
  <si>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</si>
  <si>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</si>
  <si>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</si>
  <si>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</si>
  <si>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</si>
  <si>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</si>
  <si>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</si>
  <si>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</si>
  <si>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</si>
  <si>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</si>
  <si>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</si>
  <si>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</si>
  <si>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</si>
  <si>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</si>
  <si>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</si>
  <si>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</si>
  <si>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</si>
  <si>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</si>
  <si>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</si>
  <si>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</si>
  <si>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</si>
  <si>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</si>
  <si>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</si>
  <si>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</si>
  <si>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</si>
  <si>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</si>
  <si>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</si>
  <si>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</si>
  <si>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</si>
  <si>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</si>
  <si>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</si>
  <si>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</si>
  <si>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</si>
  <si>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</si>
  <si>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</si>
  <si>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</si>
  <si>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</si>
  <si>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</si>
  <si>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</si>
  <si>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</si>
  <si>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</si>
  <si>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</si>
  <si>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</si>
  <si>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</si>
  <si>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</si>
  <si>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</si>
  <si>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</si>
  <si>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</si>
  <si>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</si>
  <si>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</si>
  <si>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</si>
  <si>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</si>
  <si>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</si>
  <si>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</si>
  <si>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</si>
  <si>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</si>
  <si>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</si>
  <si>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</si>
  <si>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</si>
  <si>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</si>
  <si>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</si>
  <si>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</si>
  <si>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</si>
  <si>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</si>
  <si>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</si>
  <si>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</si>
  <si>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</si>
  <si>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</si>
  <si>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</si>
  <si>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</si>
  <si>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</si>
  <si>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</si>
  <si>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</si>
  <si>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</si>
  <si>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</si>
  <si>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</si>
  <si>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</si>
  <si>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</si>
  <si>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</si>
  <si>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</si>
  <si>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</si>
  <si>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</si>
  <si>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</si>
  <si>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</si>
  <si>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</si>
  <si>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</si>
  <si>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</si>
  <si>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</si>
  <si>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</si>
  <si>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</si>
  <si>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</si>
  <si>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</si>
  <si>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</si>
  <si>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</si>
  <si>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</si>
  <si>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</si>
  <si>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</si>
  <si>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</si>
  <si>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</si>
  <si>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</si>
  <si>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</si>
  <si>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</si>
  <si>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</si>
  <si>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</si>
  <si>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</si>
  <si>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</si>
  <si>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</si>
  <si>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</si>
  <si>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</si>
  <si>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</si>
  <si>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</si>
  <si>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</si>
  <si>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</si>
  <si>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</si>
  <si>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</si>
  <si>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</si>
  <si>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</si>
  <si>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</si>
  <si>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</si>
  <si>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</si>
  <si>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</si>
  <si>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</si>
  <si>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</si>
  <si>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</si>
  <si>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</si>
  <si>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</si>
  <si>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</si>
  <si>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</si>
  <si>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</si>
  <si>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</si>
  <si>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</si>
  <si>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</si>
  <si>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</si>
  <si>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</si>
  <si>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</si>
  <si>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</si>
  <si>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</si>
  <si>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</si>
  <si>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</si>
  <si>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</si>
  <si>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</si>
  <si>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</si>
  <si>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</si>
  <si>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</si>
  <si>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</si>
  <si>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</si>
  <si>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</si>
  <si>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</si>
  <si>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</si>
  <si>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</si>
  <si>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</si>
  <si>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</si>
  <si>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</si>
  <si>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</si>
  <si>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</si>
  <si>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</si>
  <si>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</si>
  <si>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</si>
  <si>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</si>
  <si>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</si>
  <si>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</si>
  <si>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</si>
  <si>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</si>
  <si>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</si>
  <si>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</si>
  <si>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</si>
  <si>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</si>
  <si>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</si>
  <si>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</si>
  <si>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</si>
  <si>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</si>
  <si>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</si>
  <si>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</si>
  <si>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</si>
  <si>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</si>
  <si>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</si>
  <si>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</si>
  <si>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</si>
  <si>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</si>
  <si>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</si>
  <si>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</si>
  <si>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</si>
  <si>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</si>
  <si>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</si>
  <si>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</si>
  <si>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</si>
  <si>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</si>
  <si>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</si>
  <si>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</si>
  <si>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</si>
  <si>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</si>
  <si>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</si>
  <si>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</si>
  <si>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</si>
  <si>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</si>
  <si>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</si>
  <si>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</si>
  <si>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</si>
  <si>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</si>
  <si>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</si>
  <si>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</si>
  <si>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</si>
  <si>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</si>
  <si>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</si>
  <si>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</si>
  <si>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</si>
  <si>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</si>
  <si>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</si>
  <si>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</si>
  <si>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</si>
  <si>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</si>
  <si>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</si>
  <si>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</si>
  <si>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</si>
  <si>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</si>
  <si>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</si>
  <si>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</si>
  <si>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</si>
  <si>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</si>
  <si>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</si>
  <si>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</si>
  <si>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</si>
  <si>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</si>
  <si>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</si>
  <si>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</si>
  <si>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</si>
  <si>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</si>
  <si>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</si>
  <si>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</si>
  <si>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</si>
  <si>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</si>
  <si>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</si>
  <si>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</si>
  <si>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</si>
  <si>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</si>
  <si>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</si>
  <si>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</si>
  <si>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</si>
  <si>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</si>
  <si>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</si>
  <si>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</si>
  <si>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</si>
  <si>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</si>
  <si>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</si>
  <si>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</si>
  <si>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</si>
  <si>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</si>
  <si>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</si>
  <si>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</si>
  <si>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</si>
  <si>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</si>
  <si>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</si>
  <si>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</si>
  <si>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</si>
  <si>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</si>
  <si>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</si>
  <si>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</si>
  <si>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</si>
  <si>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</si>
  <si>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</si>
  <si>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</si>
  <si>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</si>
  <si>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</si>
  <si>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</si>
  <si>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</si>
  <si>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</si>
  <si>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</si>
  <si>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</si>
  <si>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</si>
  <si>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</si>
  <si>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</si>
  <si>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</si>
  <si>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</si>
  <si>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</si>
  <si>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</si>
  <si>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</si>
  <si>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</si>
  <si>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</si>
  <si>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</si>
  <si>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</si>
  <si>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</si>
  <si>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</si>
  <si>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</si>
  <si>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</si>
  <si>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</si>
  <si>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</si>
  <si>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</si>
  <si>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</si>
  <si>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</si>
  <si>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</si>
  <si>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</si>
  <si>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</si>
  <si>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</si>
  <si>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</si>
  <si>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</si>
  <si>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</si>
  <si>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</si>
  <si>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</si>
  <si>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</si>
  <si>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</si>
  <si>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</si>
  <si>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</si>
  <si>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</si>
  <si>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</si>
  <si>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</si>
  <si>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</si>
  <si>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</si>
  <si>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</si>
  <si>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</si>
  <si>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</si>
  <si>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</si>
  <si>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</si>
  <si>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</si>
  <si>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</si>
  <si>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</si>
  <si>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</si>
  <si>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</si>
  <si>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</si>
  <si>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</si>
  <si>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</si>
  <si>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</si>
  <si>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</si>
  <si>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</si>
  <si>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</si>
  <si>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</si>
  <si>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</si>
  <si>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</si>
  <si>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</si>
  <si>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</si>
  <si>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</si>
  <si>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</si>
  <si>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</si>
  <si>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</si>
  <si>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</si>
  <si>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</si>
  <si>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</si>
  <si>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</si>
  <si>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</si>
  <si>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</si>
  <si>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</si>
  <si>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</si>
  <si>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</si>
  <si>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</si>
  <si>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</si>
  <si>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</si>
  <si>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</si>
  <si>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</si>
  <si>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</si>
  <si>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</si>
  <si>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</si>
  <si>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</si>
  <si>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</si>
  <si>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</si>
  <si>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</si>
  <si>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</si>
  <si>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</si>
  <si>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</si>
  <si>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</si>
  <si>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</si>
  <si>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</si>
  <si>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</si>
  <si>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</si>
  <si>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</si>
  <si>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</si>
  <si>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</si>
  <si>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</si>
  <si>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</si>
  <si>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</si>
  <si>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</si>
  <si>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</si>
  <si>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</si>
  <si>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</si>
  <si>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</si>
  <si>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</si>
  <si>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</si>
  <si>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</si>
  <si>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</si>
  <si>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</si>
  <si>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</si>
  <si>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</si>
  <si>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</si>
  <si>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</si>
  <si>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</si>
  <si>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</si>
  <si>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</si>
  <si>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</si>
  <si>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</si>
  <si>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</si>
  <si>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</si>
  <si>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</si>
  <si>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</si>
  <si>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</si>
  <si>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</si>
  <si>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</si>
  <si>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</si>
  <si>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</si>
  <si>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</si>
  <si>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</si>
  <si>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</si>
  <si>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</si>
  <si>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</si>
  <si>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</si>
  <si>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</si>
  <si>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</si>
  <si>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</si>
  <si>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</si>
  <si>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</si>
  <si>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</si>
  <si>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</si>
  <si>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</si>
  <si>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</si>
  <si>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</si>
  <si>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</si>
  <si>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</si>
  <si>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</si>
  <si>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</si>
  <si>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</si>
  <si>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</si>
  <si>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</si>
  <si>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</si>
  <si>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</si>
  <si>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</si>
  <si>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</si>
  <si>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</si>
  <si>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</si>
  <si>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</si>
  <si>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</si>
  <si>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</si>
  <si>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</si>
  <si>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</si>
  <si>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</si>
  <si>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</si>
  <si>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</si>
  <si>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</si>
  <si>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</si>
  <si>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</si>
  <si>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</si>
  <si>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</si>
  <si>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</si>
  <si>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</si>
  <si>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</si>
  <si>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</si>
  <si>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</si>
  <si>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</si>
  <si>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</si>
  <si>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</si>
  <si>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</si>
  <si>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</si>
  <si>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</si>
  <si>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</si>
  <si>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</si>
  <si>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</si>
  <si>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</si>
  <si>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</si>
  <si>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</si>
  <si>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</si>
  <si>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</si>
  <si>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</si>
  <si>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</si>
  <si>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</si>
  <si>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</si>
  <si>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</si>
  <si>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</si>
  <si>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</si>
  <si>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</si>
  <si>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</si>
  <si>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</si>
  <si>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</si>
  <si>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</si>
  <si>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</si>
  <si>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</si>
  <si>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</si>
  <si>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</si>
  <si>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</si>
  <si>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</si>
  <si>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</si>
  <si>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</si>
  <si>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</si>
  <si>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</si>
  <si>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</si>
  <si>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</si>
  <si>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</si>
  <si>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</si>
  <si>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</si>
  <si>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</si>
  <si>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</si>
  <si>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</si>
  <si>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</si>
  <si>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</si>
  <si>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</si>
  <si>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</si>
  <si>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</si>
  <si>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</si>
  <si>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</si>
  <si>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</si>
  <si>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</si>
  <si>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</si>
  <si>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</si>
  <si>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</si>
  <si>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</si>
  <si>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</si>
  <si>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</si>
  <si>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</si>
  <si>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</si>
  <si>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</si>
  <si>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</si>
  <si>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</si>
  <si>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</si>
  <si>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</si>
  <si>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</si>
  <si>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</si>
  <si>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</si>
  <si>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</si>
  <si>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</si>
  <si>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</si>
  <si>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</si>
  <si>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</si>
  <si>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</si>
  <si>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</si>
  <si>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</si>
  <si>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</si>
  <si>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</si>
  <si>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</si>
  <si>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</si>
  <si>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</si>
  <si>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</si>
  <si>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</si>
  <si>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</si>
  <si>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</si>
  <si>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</si>
  <si>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</si>
  <si>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</si>
  <si>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</si>
  <si>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</si>
  <si>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</si>
  <si>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</si>
  <si>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</si>
  <si>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</si>
  <si>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</si>
  <si>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</si>
  <si>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</si>
  <si>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</si>
  <si>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</si>
  <si>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</si>
  <si>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</si>
  <si>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</si>
  <si>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</si>
  <si>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</si>
  <si>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</si>
  <si>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</si>
  <si>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</si>
  <si>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</si>
  <si>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</si>
  <si>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</si>
  <si>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</si>
  <si>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</si>
  <si>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</si>
  <si>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</si>
  <si>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</si>
  <si>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</si>
  <si>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</si>
  <si>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</si>
  <si>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</si>
  <si>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</si>
  <si>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</si>
  <si>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</si>
  <si>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</si>
  <si>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</si>
  <si>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</si>
  <si>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</si>
  <si>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</si>
  <si>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</si>
  <si>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</si>
  <si>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</si>
  <si>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</si>
  <si>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</si>
  <si>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</si>
  <si>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</si>
  <si>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</si>
  <si>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</si>
  <si>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</si>
  <si>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</si>
  <si>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</si>
  <si>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</si>
  <si>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</si>
  <si>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</si>
  <si>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</si>
  <si>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</si>
  <si>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</si>
  <si>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</si>
  <si>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</si>
  <si>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</si>
  <si>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</si>
  <si>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</si>
  <si>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</si>
  <si>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</si>
  <si>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</si>
  <si>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</si>
  <si>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</si>
  <si>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</si>
  <si>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</si>
  <si>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</si>
  <si>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</si>
  <si>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</si>
  <si>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</si>
  <si>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</si>
  <si>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</si>
  <si>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</si>
  <si>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</si>
  <si>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</si>
  <si>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</si>
  <si>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</si>
  <si>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</si>
  <si>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</si>
  <si>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</si>
  <si>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</si>
  <si>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</si>
  <si>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</si>
  <si>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</si>
  <si>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</si>
  <si>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</si>
  <si>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</si>
  <si>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</si>
  <si>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</si>
  <si>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</si>
  <si>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</si>
  <si>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</si>
  <si>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</si>
  <si>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</si>
  <si>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</si>
  <si>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</si>
  <si>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</si>
  <si>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</si>
  <si>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</si>
  <si>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</si>
  <si>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</si>
  <si>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</si>
  <si>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</si>
  <si>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</si>
  <si>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</si>
  <si>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</si>
  <si>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</si>
  <si>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</si>
  <si>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</si>
  <si>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</si>
  <si>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</si>
  <si>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</si>
  <si>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</si>
  <si>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</si>
  <si>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</si>
  <si>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</si>
  <si>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</si>
  <si>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</si>
  <si>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</si>
  <si>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</si>
  <si>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</si>
  <si>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</si>
  <si>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</si>
  <si>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</si>
  <si>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</si>
  <si>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</si>
  <si>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</si>
  <si>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</si>
  <si>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</si>
  <si>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</si>
  <si>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</si>
  <si>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</si>
  <si>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</si>
  <si>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</si>
  <si>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</si>
  <si>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</si>
  <si>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</si>
  <si>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</si>
  <si>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</si>
  <si>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</si>
  <si>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</si>
  <si>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</si>
  <si>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</si>
  <si>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</si>
  <si>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</si>
  <si>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</si>
  <si>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</si>
  <si>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</si>
  <si>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</si>
  <si>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</si>
  <si>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</si>
  <si>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</si>
  <si>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</si>
  <si>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</si>
  <si>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</si>
  <si>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</si>
  <si>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</si>
  <si>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</si>
  <si>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</si>
  <si>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</si>
  <si>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</si>
  <si>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</si>
  <si>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</si>
  <si>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</si>
  <si>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</si>
  <si>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</si>
  <si>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</si>
  <si>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</si>
  <si>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</si>
  <si>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</si>
  <si>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</si>
  <si>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</si>
  <si>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</si>
  <si>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</si>
  <si>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</si>
  <si>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</si>
  <si>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</si>
  <si>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</si>
  <si>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</si>
  <si>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</si>
  <si>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</si>
  <si>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</si>
  <si>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</si>
  <si>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</si>
  <si>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</si>
  <si>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</si>
  <si>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</si>
  <si>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</si>
  <si>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</si>
  <si>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</si>
  <si>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</si>
  <si>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</si>
  <si>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</si>
  <si>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</si>
  <si>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</si>
  <si>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</si>
  <si>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</si>
  <si>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</si>
  <si>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</si>
  <si>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</si>
  <si>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</si>
  <si>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</si>
  <si>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</si>
  <si>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</si>
  <si>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</si>
  <si>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</si>
  <si>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</si>
  <si>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</si>
  <si>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</si>
  <si>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</si>
  <si>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</si>
  <si>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</si>
  <si>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</si>
  <si>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</si>
  <si>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</si>
  <si>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</si>
  <si>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</si>
  <si>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</si>
  <si>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</si>
  <si>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</si>
  <si>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</si>
  <si>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</si>
  <si>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</si>
  <si>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</si>
  <si>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</si>
  <si>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</si>
  <si>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</si>
  <si>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</si>
  <si>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</si>
  <si>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</si>
  <si>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</si>
  <si>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</si>
  <si>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</si>
  <si>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</si>
  <si>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</si>
  <si>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</si>
  <si>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</si>
  <si>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</si>
  <si>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</si>
  <si>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</si>
  <si>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</si>
  <si>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</si>
  <si>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</si>
  <si>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</si>
  <si>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</si>
  <si>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</si>
  <si>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</si>
  <si>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</si>
  <si>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</si>
  <si>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</si>
  <si>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</si>
  <si>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</si>
  <si>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</si>
  <si>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</si>
  <si>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</si>
  <si>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</si>
  <si>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</si>
  <si>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</si>
  <si>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</si>
  <si>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</si>
  <si>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</si>
  <si>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</si>
  <si>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</si>
  <si>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</si>
  <si>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</si>
  <si>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</si>
  <si>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</si>
  <si>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</si>
  <si>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</si>
  <si>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</si>
  <si>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</si>
  <si>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</si>
  <si>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</si>
  <si>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</si>
  <si>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</si>
  <si>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</si>
  <si>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</si>
  <si>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</si>
  <si>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</si>
  <si>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</si>
  <si>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</si>
  <si>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</si>
  <si>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</si>
  <si>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</si>
  <si>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</si>
  <si>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</si>
  <si>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</si>
  <si>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</si>
  <si>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</si>
  <si>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</si>
  <si>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</si>
  <si>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</si>
  <si>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</si>
  <si>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</si>
  <si>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</si>
  <si>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</si>
  <si>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</si>
  <si>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</si>
  <si>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</si>
  <si>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</si>
  <si>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</si>
  <si>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</si>
  <si>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</si>
  <si>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</si>
  <si>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</si>
  <si>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</si>
  <si>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</si>
  <si>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</si>
  <si>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</si>
  <si>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</si>
  <si>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</si>
  <si>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</si>
  <si>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</si>
  <si>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</si>
  <si>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</si>
  <si>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</si>
  <si>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</si>
  <si>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</si>
  <si>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</si>
  <si>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</si>
  <si>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</si>
  <si>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</si>
  <si>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</si>
  <si>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</si>
  <si>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</si>
  <si>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</si>
  <si>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</si>
  <si>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</si>
  <si>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</si>
  <si>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</si>
  <si>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</si>
  <si>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</si>
  <si>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</si>
  <si>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</si>
  <si>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</si>
  <si>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</si>
  <si>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</si>
  <si>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</si>
  <si>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</si>
  <si>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</si>
  <si>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</si>
  <si>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</si>
  <si>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</si>
  <si>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</si>
  <si>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</si>
  <si>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</si>
  <si>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</si>
  <si>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</si>
  <si>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</si>
  <si>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</si>
  <si>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</si>
  <si>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</si>
  <si>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</si>
  <si>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</si>
  <si>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</si>
  <si>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</si>
  <si>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</si>
  <si>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</si>
  <si>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</si>
  <si>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</si>
  <si>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</si>
  <si>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</si>
  <si>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</si>
  <si>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</si>
  <si>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</si>
  <si>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</si>
  <si>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</si>
  <si>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</si>
  <si>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</si>
  <si>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</si>
  <si>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</si>
  <si>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</si>
  <si>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</si>
  <si>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</si>
  <si>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</si>
  <si>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</si>
  <si>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</si>
  <si>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</si>
  <si>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</si>
  <si>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</si>
  <si>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</si>
  <si>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</si>
  <si>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</si>
  <si>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</si>
  <si>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</si>
  <si>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</si>
  <si>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</si>
  <si>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</si>
  <si>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</si>
  <si>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</si>
  <si>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</si>
  <si>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</si>
  <si>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</si>
  <si>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</si>
  <si>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</si>
  <si>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</si>
  <si>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</si>
  <si>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</si>
  <si>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</si>
  <si>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</si>
  <si>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</si>
  <si>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</si>
  <si>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</si>
  <si>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</si>
  <si>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</si>
  <si>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</si>
  <si>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</si>
  <si>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</si>
  <si>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</si>
  <si>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</si>
  <si>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</si>
  <si>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</si>
  <si>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</si>
  <si>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</si>
  <si>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</si>
  <si>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</si>
  <si>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</si>
  <si>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</si>
  <si>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</si>
  <si>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</si>
  <si>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</si>
  <si>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</si>
  <si>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</si>
  <si>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</si>
  <si>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</si>
  <si>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</si>
  <si>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</si>
  <si>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</si>
  <si>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</si>
  <si>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</si>
  <si>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</si>
  <si>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</si>
  <si>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</si>
  <si>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</si>
  <si>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</si>
  <si>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</si>
  <si>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</si>
  <si>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</si>
  <si>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</si>
  <si>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</si>
  <si>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</si>
  <si>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</si>
  <si>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</si>
  <si>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</si>
  <si>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</si>
  <si>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</si>
  <si>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</si>
  <si>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</si>
  <si>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</si>
  <si>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</si>
  <si>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</si>
  <si>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</si>
  <si>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</si>
  <si>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</si>
  <si>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</si>
  <si>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</si>
  <si>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</si>
  <si>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</si>
  <si>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</si>
  <si>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</si>
  <si>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</si>
  <si>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</si>
  <si>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</si>
  <si>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</si>
  <si>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</si>
  <si>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</si>
  <si>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</si>
  <si>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</si>
  <si>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</si>
  <si>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</si>
  <si>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</si>
  <si>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</si>
  <si>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</si>
  <si>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</si>
  <si>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</si>
  <si>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</si>
  <si>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</si>
  <si>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</si>
  <si>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</si>
  <si>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</si>
  <si>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</si>
  <si>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</si>
  <si>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</si>
  <si>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</si>
  <si>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</si>
  <si>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</si>
  <si>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</si>
  <si>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</si>
  <si>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</si>
  <si>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</si>
  <si>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</si>
  <si>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</si>
  <si>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</si>
  <si>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</si>
  <si>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</si>
  <si>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</si>
  <si>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</si>
  <si>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</si>
  <si>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</si>
  <si>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</si>
  <si>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</si>
  <si>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</si>
  <si>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</si>
  <si>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</si>
  <si>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</si>
  <si>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</si>
  <si>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</si>
  <si>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</si>
  <si>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</si>
  <si>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</si>
  <si>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</si>
  <si>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</si>
  <si>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</si>
  <si>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</si>
  <si>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</si>
  <si>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</si>
  <si>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</si>
  <si>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</si>
  <si>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</si>
  <si>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</si>
  <si>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</si>
  <si>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</si>
  <si>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</si>
  <si>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</si>
  <si>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</si>
  <si>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</si>
  <si>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</si>
  <si>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</si>
  <si>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</si>
  <si>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</si>
  <si>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</si>
  <si>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</si>
  <si>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</si>
  <si>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</si>
  <si>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</si>
  <si>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</si>
  <si>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</si>
  <si>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</si>
  <si>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</si>
  <si>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</si>
  <si>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</si>
  <si>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</si>
  <si>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</si>
  <si>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</si>
  <si>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</si>
  <si>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</si>
  <si>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</si>
  <si>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</si>
  <si>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</si>
  <si>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</si>
  <si>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</si>
  <si>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</si>
  <si>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</si>
  <si>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</si>
  <si>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</si>
  <si>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</si>
  <si>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</si>
  <si>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</si>
  <si>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</si>
  <si>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</si>
  <si>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</si>
  <si>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</si>
  <si>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</si>
  <si>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</si>
  <si>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</si>
  <si>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</si>
  <si>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</si>
  <si>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</si>
  <si>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</si>
  <si>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</si>
  <si>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</si>
  <si>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</si>
  <si>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</si>
  <si>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</si>
  <si>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</si>
  <si>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</si>
  <si>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</si>
  <si>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</si>
  <si>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</si>
  <si>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</si>
  <si>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</si>
  <si>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</si>
  <si>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</si>
  <si>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</si>
  <si>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</si>
  <si>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</si>
  <si>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</si>
  <si>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</si>
  <si>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</si>
  <si>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</si>
  <si>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</si>
  <si>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</si>
  <si>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</si>
  <si>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</si>
  <si>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</si>
  <si>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</si>
  <si>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</si>
  <si>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</si>
  <si>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</si>
  <si>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</si>
  <si>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</si>
  <si>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</si>
  <si>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</si>
  <si>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</si>
  <si>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</si>
  <si>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</si>
  <si>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</si>
  <si>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</si>
  <si>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</si>
  <si>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</si>
  <si>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</si>
  <si>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</si>
  <si>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</si>
  <si>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</si>
  <si>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</si>
  <si>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</si>
  <si>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</si>
  <si>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</si>
  <si>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</si>
  <si>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</si>
  <si>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</si>
  <si>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</si>
  <si>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</si>
  <si>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</si>
  <si>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</si>
  <si>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</si>
  <si>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</si>
  <si>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</si>
  <si>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</si>
  <si>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</si>
  <si>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</si>
  <si>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</si>
  <si>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</si>
  <si>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</si>
  <si>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</si>
  <si>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</si>
  <si>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</si>
  <si>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</si>
  <si>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</si>
  <si>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</si>
  <si>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</si>
  <si>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</si>
  <si>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</si>
  <si>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</si>
  <si>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</si>
  <si>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</si>
  <si>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</si>
  <si>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</si>
  <si>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</si>
  <si>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</si>
  <si>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</si>
  <si>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</si>
  <si>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</si>
  <si>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</si>
  <si>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</si>
  <si>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</si>
  <si>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</si>
  <si>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</si>
  <si>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</si>
  <si>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</si>
  <si>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</si>
  <si>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</si>
  <si>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</si>
  <si>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</si>
  <si>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</si>
  <si>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</si>
  <si>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</si>
  <si>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</si>
  <si>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</si>
  <si>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</si>
  <si>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</si>
  <si>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</si>
  <si>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</si>
  <si>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</si>
  <si>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</si>
  <si>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</si>
  <si>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</si>
  <si>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</si>
  <si>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</si>
  <si>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</si>
  <si>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</si>
  <si>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</si>
  <si>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</si>
  <si>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</si>
  <si>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</si>
  <si>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</si>
  <si>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</si>
  <si>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</si>
  <si>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</si>
  <si>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</si>
  <si>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</si>
  <si>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</si>
  <si>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</si>
  <si>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</si>
  <si>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</si>
  <si>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</si>
  <si>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</si>
  <si>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</si>
  <si>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</si>
  <si>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</si>
  <si>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</si>
  <si>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</si>
  <si>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</si>
  <si>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</si>
  <si>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</si>
  <si>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</si>
  <si>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</si>
  <si>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</si>
  <si>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</si>
  <si>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</si>
  <si>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</si>
  <si>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</si>
  <si>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</si>
  <si>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</si>
  <si>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</si>
  <si>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</si>
  <si>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</si>
  <si>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</si>
  <si>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</si>
  <si>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</si>
  <si>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</si>
  <si>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</si>
  <si>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</si>
  <si>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</si>
  <si>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</si>
  <si>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</si>
  <si>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</si>
  <si>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</si>
  <si>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</si>
  <si>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</si>
  <si>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</si>
  <si>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</si>
  <si>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</si>
  <si>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</si>
  <si>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</si>
  <si>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</si>
  <si>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</si>
  <si>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</si>
  <si>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</si>
  <si>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</si>
  <si>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</si>
  <si>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</si>
  <si>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</si>
  <si>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</si>
  <si>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</si>
  <si>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</si>
  <si>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</si>
  <si>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</si>
  <si>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</si>
  <si>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</si>
  <si>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</si>
  <si>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</si>
  <si>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</si>
  <si>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</si>
  <si>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</si>
  <si>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</si>
  <si>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</si>
  <si>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</si>
  <si>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</si>
  <si>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</si>
  <si>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</si>
  <si>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</si>
  <si>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</si>
  <si>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</si>
  <si>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</si>
  <si>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</si>
  <si>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</si>
  <si>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</si>
  <si>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</si>
  <si>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</si>
  <si>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</si>
  <si>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</si>
  <si>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</si>
  <si>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</si>
  <si>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</si>
  <si>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</si>
  <si>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</si>
  <si>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</si>
  <si>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</si>
  <si>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</si>
  <si>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</si>
  <si>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</si>
  <si>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</si>
  <si>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</si>
  <si>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</si>
  <si>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</si>
  <si>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</si>
  <si>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</si>
  <si>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</si>
  <si>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</si>
  <si>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</si>
  <si>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</si>
  <si>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</si>
  <si>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</si>
  <si>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</si>
  <si>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</si>
  <si>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</si>
  <si>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</si>
  <si>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</si>
  <si>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</si>
  <si>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</si>
  <si>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</si>
  <si>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</si>
  <si>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</si>
  <si>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</si>
  <si>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</si>
  <si>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</si>
  <si>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</si>
  <si>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</si>
  <si>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</si>
  <si>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</si>
  <si>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</si>
  <si>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</si>
  <si>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</si>
  <si>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</si>
  <si>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</si>
  <si>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</si>
  <si>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</si>
  <si>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</si>
  <si>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</si>
  <si>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</si>
  <si>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</si>
  <si>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</si>
  <si>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</si>
  <si>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</si>
  <si>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</si>
  <si>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</si>
  <si>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</si>
  <si>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</si>
  <si>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</si>
  <si>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</si>
  <si>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</si>
  <si>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</si>
  <si>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</si>
  <si>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</si>
  <si>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</si>
  <si>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</si>
  <si>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</si>
  <si>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</si>
  <si>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</si>
  <si>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</si>
  <si>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</si>
  <si>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</si>
  <si>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</si>
  <si>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</si>
  <si>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</si>
  <si>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</si>
  <si>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</si>
  <si>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</si>
  <si>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</si>
  <si>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</si>
  <si>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</si>
  <si>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</si>
  <si>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</si>
  <si>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</si>
  <si>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</si>
  <si>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</si>
  <si>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</si>
  <si>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</si>
  <si>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</si>
  <si>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</si>
  <si>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</si>
  <si>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</si>
  <si>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</si>
  <si>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</si>
  <si>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</si>
  <si>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</si>
  <si>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</si>
  <si>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</si>
  <si>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</si>
  <si>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</si>
  <si>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</si>
  <si>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</si>
  <si>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</si>
  <si>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</si>
  <si>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</si>
  <si>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</si>
  <si>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</si>
  <si>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</si>
  <si>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</si>
  <si>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</si>
  <si>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</si>
  <si>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</si>
  <si>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</si>
  <si>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</si>
  <si>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</si>
  <si>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</si>
  <si>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</si>
  <si>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</si>
  <si>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</si>
  <si>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</si>
  <si>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</si>
  <si>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</si>
  <si>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</si>
  <si>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</si>
  <si>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</si>
  <si>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</si>
  <si>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</si>
  <si>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</si>
  <si>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</si>
  <si>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</si>
  <si>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</si>
  <si>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</si>
  <si>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</si>
  <si>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</si>
  <si>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</si>
  <si>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</si>
  <si>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</si>
  <si>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</si>
  <si>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</si>
  <si>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</si>
  <si>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</si>
  <si>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</si>
  <si>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</si>
  <si>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</si>
  <si>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</si>
  <si>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</si>
  <si>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</si>
  <si>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</si>
  <si>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</si>
  <si>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</si>
  <si>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</si>
  <si>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</si>
  <si>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</si>
  <si>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</si>
  <si>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</si>
  <si>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</si>
  <si>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</si>
  <si>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</si>
  <si>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</si>
  <si>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</si>
  <si>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</si>
  <si>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</si>
  <si>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</si>
  <si>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</si>
  <si>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</si>
  <si>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</si>
  <si>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</si>
  <si>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</si>
  <si>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</si>
  <si>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</si>
  <si>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</si>
  <si>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</si>
  <si>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</si>
  <si>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</si>
  <si>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</si>
  <si>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</si>
  <si>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</si>
  <si>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</si>
  <si>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</si>
  <si>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</si>
  <si>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</si>
  <si>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</si>
  <si>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</si>
  <si>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</si>
  <si>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</si>
  <si>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</si>
  <si>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</si>
  <si>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</si>
  <si>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</si>
  <si>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</si>
  <si>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</si>
  <si>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</si>
  <si>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</si>
  <si>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</si>
  <si>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</si>
  <si>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</si>
  <si>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</si>
  <si>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</si>
  <si>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</si>
  <si>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</si>
  <si>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</si>
  <si>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</si>
  <si>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</si>
  <si>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</si>
  <si>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</si>
  <si>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</si>
  <si>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</si>
  <si>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</si>
  <si>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</si>
  <si>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</si>
  <si>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</si>
  <si>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</si>
  <si>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</si>
  <si>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</si>
  <si>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</si>
  <si>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</si>
  <si>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</si>
  <si>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</si>
  <si>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</si>
  <si>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</si>
  <si>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</si>
  <si>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</si>
  <si>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</si>
  <si>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</si>
  <si>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</si>
  <si>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</si>
  <si>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</si>
  <si>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</si>
  <si>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</si>
  <si>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</si>
  <si>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</si>
  <si>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</si>
  <si>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</si>
  <si>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</si>
  <si>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</si>
  <si>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</si>
  <si>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</si>
  <si>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</si>
  <si>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</si>
  <si>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</si>
  <si>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</si>
  <si>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</si>
  <si>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</si>
  <si>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</si>
  <si>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</si>
  <si>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</si>
  <si>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</si>
  <si>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</si>
  <si>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</si>
  <si>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</si>
  <si>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</si>
  <si>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</si>
  <si>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</si>
  <si>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</si>
  <si>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</si>
  <si>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</si>
  <si>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</si>
  <si>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</si>
  <si>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</si>
  <si>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</si>
  <si>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</si>
  <si>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</si>
  <si>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</si>
  <si>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</si>
  <si>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</si>
  <si>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</si>
  <si>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</si>
  <si>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</si>
  <si>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</si>
  <si>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</si>
  <si>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</si>
  <si>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</si>
  <si>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</si>
  <si>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</si>
  <si>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</si>
  <si>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</si>
  <si>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</si>
  <si>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</si>
  <si>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</si>
  <si>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</si>
  <si>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</si>
  <si>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</si>
  <si>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</si>
  <si>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</si>
  <si>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</si>
  <si>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</si>
  <si>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</si>
  <si>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</si>
  <si>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</si>
  <si>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</si>
  <si>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</si>
  <si>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</si>
  <si>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</si>
  <si>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</si>
  <si>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</si>
  <si>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</si>
  <si>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</si>
  <si>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</si>
  <si>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</si>
  <si>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</si>
  <si>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</si>
  <si>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</si>
  <si>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</si>
  <si>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</si>
  <si>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</si>
  <si>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</si>
  <si>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</si>
  <si>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</si>
  <si>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</si>
  <si>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</si>
  <si>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</si>
  <si>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</si>
  <si>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</si>
  <si>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</si>
  <si>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</si>
  <si>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</si>
  <si>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</si>
  <si>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</si>
  <si>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</si>
  <si>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</si>
  <si>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</si>
  <si>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</si>
  <si>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</si>
  <si>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</si>
  <si>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</si>
  <si>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</si>
  <si>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</si>
  <si>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</si>
  <si>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</si>
  <si>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</si>
  <si>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</si>
  <si>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</si>
  <si>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</si>
  <si>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</si>
  <si>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</si>
  <si>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</si>
  <si>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</si>
  <si>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</si>
  <si>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</si>
  <si>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</si>
  <si>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</si>
  <si>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</si>
  <si>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</si>
  <si>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</si>
  <si>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</si>
  <si>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</si>
  <si>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</si>
  <si>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</si>
  <si>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</si>
  <si>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</si>
  <si>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</si>
  <si>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</si>
  <si>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</si>
  <si>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</si>
  <si>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</si>
  <si>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</si>
  <si>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</si>
  <si>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</si>
  <si>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</si>
  <si>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</si>
  <si>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</si>
  <si>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</si>
  <si>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</si>
  <si>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</si>
  <si>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</si>
  <si>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</si>
  <si>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</si>
  <si>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</si>
  <si>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</si>
  <si>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</si>
  <si>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</si>
  <si>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</si>
  <si>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</si>
  <si>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</si>
  <si>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</si>
  <si>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</si>
  <si>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</si>
  <si>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</si>
  <si>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</si>
  <si>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</si>
  <si>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</si>
  <si>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</si>
  <si>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</si>
  <si>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</si>
  <si>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</si>
  <si>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</si>
  <si>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</si>
  <si>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</si>
  <si>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</si>
  <si>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</si>
  <si>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</si>
  <si>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</si>
  <si>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</si>
  <si>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</si>
  <si>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</si>
  <si>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</si>
  <si>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</si>
  <si>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</si>
  <si>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</si>
  <si>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</si>
  <si>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</si>
  <si>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</si>
  <si>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</si>
  <si>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</si>
  <si>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</si>
  <si>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</si>
  <si>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</si>
  <si>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</si>
  <si>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</si>
  <si>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</si>
  <si>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</si>
  <si>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</si>
  <si>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</si>
  <si>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</si>
  <si>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</si>
  <si>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</si>
  <si>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</si>
  <si>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</si>
  <si>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</si>
  <si>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</si>
  <si>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</si>
  <si>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</si>
  <si>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</si>
  <si>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</si>
  <si>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</si>
  <si>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</si>
  <si>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</si>
  <si>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</si>
  <si>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</si>
  <si>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</si>
  <si>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</si>
  <si>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</si>
  <si>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</si>
  <si>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</si>
  <si>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</si>
  <si>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</si>
  <si>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</si>
  <si>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</si>
  <si>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</si>
  <si>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</si>
  <si>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</si>
  <si>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</si>
  <si>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</si>
  <si>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</si>
  <si>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</si>
  <si>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</si>
  <si>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</si>
  <si>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</si>
  <si>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</si>
  <si>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</si>
  <si>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</si>
  <si>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</si>
  <si>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</si>
  <si>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</si>
  <si>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</si>
  <si>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</si>
  <si>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</si>
  <si>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</si>
  <si>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</si>
  <si>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</si>
  <si>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</si>
  <si>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</si>
  <si>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</si>
  <si>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</si>
  <si>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</si>
  <si>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</si>
  <si>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</si>
  <si>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</si>
  <si>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</si>
  <si>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</si>
  <si>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</si>
  <si>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</si>
  <si>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</si>
  <si>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</si>
  <si>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</si>
  <si>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</si>
  <si>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</si>
  <si>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</si>
  <si>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</si>
  <si>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</si>
  <si>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</si>
  <si>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</si>
  <si>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</si>
  <si>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</si>
  <si>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</si>
  <si>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</si>
  <si>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</si>
  <si>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</si>
  <si>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</si>
  <si>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</si>
  <si>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</si>
  <si>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</si>
  <si>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</si>
  <si>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</si>
  <si>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</si>
  <si>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</si>
  <si>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</si>
  <si>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</si>
  <si>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</si>
  <si>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</si>
  <si>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</si>
  <si>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</si>
  <si>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</si>
  <si>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</si>
  <si>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</si>
  <si>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</si>
  <si>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</si>
  <si>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</si>
  <si>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</si>
  <si>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</si>
  <si>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</si>
  <si>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</si>
  <si>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</si>
  <si>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</si>
  <si>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</si>
  <si>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</si>
  <si>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</si>
  <si>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</si>
  <si>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</si>
  <si>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</si>
  <si>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</si>
  <si>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</si>
  <si>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</si>
  <si>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</si>
  <si>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</si>
  <si>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</si>
  <si>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</si>
  <si>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</si>
  <si>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</si>
  <si>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</si>
  <si>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</si>
  <si>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</si>
  <si>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</si>
  <si>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</si>
  <si>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</si>
  <si>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</si>
  <si>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</si>
  <si>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</si>
  <si>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</si>
  <si>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</si>
  <si>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</si>
  <si>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</si>
  <si>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</si>
  <si>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</si>
  <si>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</si>
  <si>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</si>
  <si>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</si>
  <si>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</si>
  <si>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</si>
  <si>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</si>
  <si>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</si>
  <si>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</si>
  <si>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</si>
  <si>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</si>
  <si>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</si>
  <si>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</si>
  <si>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</si>
  <si>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</si>
  <si>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</si>
  <si>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</si>
  <si>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</si>
  <si>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</si>
  <si>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</si>
  <si>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</si>
  <si>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</si>
  <si>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</si>
  <si>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</si>
  <si>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</si>
  <si>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</si>
  <si>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</si>
  <si>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</si>
  <si>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</si>
  <si>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</si>
  <si>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</si>
  <si>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</si>
  <si>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</si>
  <si>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</si>
  <si>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</si>
  <si>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</si>
  <si>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</si>
  <si>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</si>
  <si>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</si>
  <si>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</si>
  <si>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</si>
  <si>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</si>
  <si>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</si>
  <si>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</si>
  <si>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</si>
  <si>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</si>
  <si>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</si>
  <si>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</si>
  <si>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</si>
  <si>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</si>
  <si>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</si>
  <si>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</si>
  <si>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</si>
  <si>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</si>
  <si>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</si>
  <si>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</si>
  <si>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</si>
  <si>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</si>
  <si>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</si>
  <si>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</si>
  <si>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</si>
  <si>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</si>
  <si>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</si>
  <si>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</si>
  <si>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</si>
  <si>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</si>
  <si>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</si>
  <si>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</si>
  <si>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</si>
  <si>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</si>
  <si>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</si>
  <si>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</si>
  <si>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</si>
  <si>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</si>
  <si>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</si>
  <si>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</si>
  <si>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</si>
  <si>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</si>
  <si>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</si>
  <si>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</si>
  <si>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</si>
  <si>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</si>
  <si>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</si>
  <si>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</si>
  <si>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</si>
  <si>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</si>
  <si>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</si>
  <si>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</si>
  <si>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</si>
  <si>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</si>
  <si>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</si>
  <si>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</si>
  <si>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</si>
  <si>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</si>
  <si>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</si>
  <si>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</si>
  <si>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</si>
  <si>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</si>
  <si>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</si>
  <si>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</si>
  <si>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</si>
  <si>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</si>
  <si>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</si>
  <si>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</si>
  <si>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</si>
  <si>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</si>
  <si>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</si>
  <si>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</si>
  <si>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</si>
  <si>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</si>
  <si>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</si>
  <si>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</si>
  <si>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</si>
  <si>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</si>
  <si>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</si>
  <si>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</si>
  <si>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</si>
  <si>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</si>
  <si>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</si>
  <si>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</si>
  <si>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</si>
  <si>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</si>
  <si>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</si>
  <si>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</si>
  <si>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</si>
  <si>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</si>
  <si>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</si>
  <si>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</si>
  <si>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</si>
  <si>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</si>
  <si>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</si>
  <si>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</si>
  <si>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</si>
  <si>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</si>
  <si>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</si>
  <si>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</si>
  <si>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</si>
  <si>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</si>
  <si>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</si>
  <si>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</si>
  <si>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</si>
  <si>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</si>
  <si>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</si>
  <si>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</si>
  <si>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</si>
  <si>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</si>
  <si>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</si>
  <si>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</si>
  <si>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</si>
  <si>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</si>
  <si>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</si>
  <si>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</si>
  <si>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</si>
  <si>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</si>
  <si>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</si>
  <si>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</si>
  <si>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</si>
  <si>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</si>
  <si>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</si>
  <si>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</si>
  <si>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</si>
  <si>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</si>
  <si>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</si>
  <si>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</si>
  <si>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</si>
  <si>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</si>
  <si>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</si>
  <si>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</si>
  <si>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</si>
  <si>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</si>
  <si>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</si>
  <si>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</si>
  <si>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</si>
  <si>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</si>
  <si>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</si>
  <si>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</si>
  <si>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</si>
  <si>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</si>
  <si>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</si>
  <si>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</si>
  <si>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</si>
  <si>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</si>
  <si>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</si>
  <si>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</si>
  <si>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</si>
  <si>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</si>
  <si>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</si>
  <si>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</si>
  <si>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</si>
  <si>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</si>
  <si>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</si>
  <si>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</si>
  <si>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</si>
  <si>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</si>
  <si>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</si>
  <si>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</si>
  <si>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</si>
  <si>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</si>
  <si>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</si>
  <si>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</si>
  <si>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</si>
  <si>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</si>
  <si>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</si>
  <si>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</si>
  <si>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</si>
  <si>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</si>
  <si>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</si>
  <si>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</si>
  <si>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</si>
  <si>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</si>
  <si>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</si>
  <si>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</si>
  <si>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</si>
  <si>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</si>
  <si>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</si>
  <si>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</si>
  <si>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</si>
  <si>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</si>
  <si>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</si>
  <si>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</si>
  <si>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</si>
  <si>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</si>
  <si>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</si>
  <si>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</si>
  <si>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</si>
  <si>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</si>
  <si>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</si>
  <si>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</si>
  <si>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</si>
  <si>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</si>
  <si>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</si>
  <si>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</si>
  <si>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</si>
  <si>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</si>
  <si>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</si>
  <si>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</si>
  <si>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</si>
  <si>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</si>
  <si>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</si>
  <si>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</si>
  <si>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</si>
  <si>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</si>
  <si>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</si>
  <si>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</si>
  <si>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</si>
  <si>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</si>
  <si>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</si>
  <si>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</si>
  <si>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</si>
  <si>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</si>
  <si>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</si>
  <si>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</si>
  <si>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</si>
  <si>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</si>
  <si>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</si>
  <si>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</si>
  <si>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</si>
  <si>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</si>
  <si>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</si>
  <si>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</si>
  <si>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</si>
  <si>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</si>
  <si>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</si>
  <si>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</si>
  <si>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</si>
  <si>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</si>
  <si>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</si>
  <si>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</si>
  <si>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</si>
  <si>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</si>
  <si>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</si>
  <si>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</si>
  <si>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</si>
  <si>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</si>
  <si>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</si>
  <si>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</si>
  <si>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</si>
  <si>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</si>
  <si>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</si>
  <si>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</si>
  <si>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</si>
  <si>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</si>
  <si>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</si>
  <si>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</si>
  <si>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</si>
  <si>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</si>
  <si>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</si>
  <si>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</si>
  <si>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</si>
  <si>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</si>
  <si>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</si>
  <si>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</si>
  <si>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</si>
  <si>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</si>
  <si>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</si>
  <si>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</si>
  <si>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</si>
  <si>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</si>
  <si>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</si>
  <si>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</si>
  <si>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</si>
  <si>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</si>
  <si>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</si>
  <si>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</si>
  <si>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</si>
  <si>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</si>
  <si>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</si>
  <si>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</si>
  <si>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</si>
  <si>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</si>
  <si>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</si>
  <si>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</si>
  <si>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</si>
  <si>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</si>
  <si>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</si>
  <si>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</si>
  <si>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</si>
  <si>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</si>
  <si>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</si>
  <si>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</si>
  <si>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</si>
  <si>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</si>
  <si>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</si>
  <si>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</si>
  <si>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</si>
  <si>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</si>
  <si>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</si>
  <si>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</si>
  <si>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</si>
  <si>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</si>
  <si>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</si>
  <si>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</si>
  <si>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</si>
  <si>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</si>
  <si>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</si>
  <si>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</si>
  <si>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</si>
  <si>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</si>
  <si>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</si>
  <si>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</si>
  <si>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</si>
  <si>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</si>
  <si>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</si>
  <si>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</si>
  <si>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</si>
  <si>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</si>
  <si>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</si>
  <si>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</si>
  <si>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</si>
  <si>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</si>
  <si>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</si>
  <si>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</si>
  <si>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</si>
  <si>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</si>
  <si>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</si>
  <si>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</si>
  <si>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</si>
  <si>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</si>
  <si>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</si>
  <si>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</si>
  <si>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</si>
  <si>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</si>
  <si>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</si>
  <si>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</si>
  <si>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</si>
  <si>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</si>
  <si>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</si>
  <si>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</si>
  <si>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</si>
  <si>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</si>
  <si>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</si>
  <si>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</si>
  <si>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</si>
  <si>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</si>
  <si>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</si>
  <si>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</si>
  <si>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</si>
  <si>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</si>
  <si>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</si>
  <si>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</si>
  <si>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</si>
  <si>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</si>
  <si>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</si>
  <si>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</si>
  <si>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</si>
  <si>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</si>
  <si>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</si>
  <si>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</si>
  <si>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</si>
  <si>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</si>
  <si>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</si>
  <si>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</si>
  <si>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</si>
  <si>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</si>
  <si>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</si>
  <si>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</si>
  <si>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</si>
  <si>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</si>
  <si>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</si>
  <si>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</si>
  <si>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</si>
  <si>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</si>
  <si>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</si>
  <si>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</si>
  <si>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</si>
  <si>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</si>
  <si>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</si>
  <si>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</si>
  <si>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</si>
  <si>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</si>
  <si>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</si>
  <si>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</si>
  <si>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</si>
  <si>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</si>
  <si>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</si>
  <si>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</si>
  <si>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</si>
  <si>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</si>
  <si>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</si>
  <si>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</si>
  <si>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</si>
  <si>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</si>
  <si>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</si>
  <si>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</si>
  <si>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</si>
  <si>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</si>
  <si>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</si>
  <si>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</si>
  <si>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</si>
  <si>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</si>
  <si>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</si>
  <si>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</si>
  <si>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</si>
  <si>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</si>
  <si>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</si>
  <si>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</si>
  <si>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</si>
  <si>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</si>
  <si>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</si>
  <si>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</si>
  <si>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</si>
  <si>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</si>
  <si>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</si>
  <si>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</si>
  <si>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</si>
  <si>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</si>
  <si>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</si>
  <si>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</si>
  <si>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</si>
  <si>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</si>
  <si>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</si>
  <si>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</si>
  <si>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</si>
  <si>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</si>
  <si>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</si>
  <si>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</si>
  <si>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</si>
  <si>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</si>
  <si>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</si>
  <si>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</si>
  <si>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</si>
  <si>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</si>
  <si>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</si>
  <si>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</si>
  <si>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</si>
  <si>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</si>
  <si>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</si>
  <si>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</si>
  <si>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</si>
  <si>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</si>
  <si>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</si>
  <si>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</si>
  <si>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</si>
  <si>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</si>
  <si>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</si>
  <si>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</si>
  <si>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</si>
  <si>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</si>
  <si>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</si>
  <si>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</si>
  <si>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</si>
  <si>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</si>
  <si>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</si>
  <si>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</si>
  <si>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</si>
  <si>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</si>
  <si>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</si>
  <si>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</si>
  <si>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</si>
  <si>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</si>
  <si>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</si>
  <si>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</si>
  <si>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</si>
  <si>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</si>
  <si>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</si>
  <si>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</si>
  <si>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</si>
  <si>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</si>
  <si>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</si>
  <si>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</si>
  <si>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</si>
  <si>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</si>
  <si>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</si>
  <si>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</si>
  <si>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</si>
  <si>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</si>
  <si>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</si>
  <si>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</si>
  <si>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</si>
  <si>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</si>
  <si>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</si>
  <si>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</si>
  <si>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</si>
  <si>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</si>
  <si>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</si>
  <si>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</si>
  <si>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</si>
  <si>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</si>
  <si>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</si>
  <si>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</si>
  <si>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</si>
  <si>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</si>
  <si>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</si>
  <si>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</si>
  <si>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</si>
  <si>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</si>
  <si>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</si>
  <si>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</si>
  <si>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</si>
  <si>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</si>
  <si>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</si>
  <si>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</si>
  <si>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</si>
  <si>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</si>
  <si>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</si>
  <si>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</si>
  <si>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</si>
  <si>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</si>
  <si>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</si>
  <si>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</si>
  <si>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</si>
  <si>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</si>
  <si>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</si>
  <si>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</si>
  <si>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</si>
  <si>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</si>
  <si>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</si>
  <si>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</si>
  <si>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</si>
  <si>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</si>
  <si>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</si>
  <si>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</si>
  <si>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</si>
  <si>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</si>
  <si>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</si>
  <si>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</si>
  <si>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</si>
  <si>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</si>
  <si>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</si>
  <si>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</si>
  <si>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</si>
  <si>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</si>
  <si>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</si>
  <si>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</si>
  <si>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</si>
  <si>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</si>
  <si>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</si>
  <si>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</si>
  <si>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</si>
  <si>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</si>
  <si>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</si>
  <si>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</si>
  <si>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</si>
  <si>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</si>
  <si>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</si>
  <si>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</si>
  <si>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</si>
  <si>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</si>
  <si>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</si>
  <si>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</si>
  <si>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</si>
  <si>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</si>
  <si>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</si>
  <si>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</si>
  <si>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</si>
  <si>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</si>
  <si>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</si>
  <si>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</si>
  <si>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</si>
  <si>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</si>
  <si>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</si>
  <si>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</si>
  <si>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</si>
  <si>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</si>
  <si>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</si>
  <si>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</si>
  <si>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</si>
  <si>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</si>
  <si>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</si>
  <si>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</si>
  <si>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</si>
  <si>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</si>
  <si>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</si>
  <si>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</si>
  <si>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</si>
  <si>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</si>
  <si>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</si>
  <si>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</si>
  <si>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</si>
  <si>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</si>
  <si>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</si>
  <si>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</si>
  <si>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</si>
  <si>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</si>
  <si>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</si>
  <si>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</si>
  <si>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</si>
  <si>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</si>
  <si>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</si>
  <si>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</si>
  <si>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</si>
  <si>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</si>
  <si>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</si>
  <si>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</si>
  <si>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</si>
  <si>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</si>
  <si>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</si>
  <si>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</si>
  <si>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</si>
  <si>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</si>
  <si>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</si>
  <si>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</si>
  <si>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</si>
  <si>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</si>
  <si>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</si>
  <si>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</si>
  <si>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</si>
  <si>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</si>
  <si>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</si>
  <si>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</si>
  <si>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</si>
  <si>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</si>
  <si>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</si>
  <si>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</si>
  <si>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</si>
  <si>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</si>
  <si>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</si>
  <si>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</si>
  <si>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</si>
  <si>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</si>
  <si>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</si>
  <si>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</si>
  <si>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</si>
  <si>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</si>
  <si>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</si>
  <si>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</si>
  <si>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</si>
  <si>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</si>
  <si>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</si>
  <si>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</si>
  <si>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</si>
  <si>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</si>
  <si>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</si>
  <si>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</si>
  <si>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</si>
  <si>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</si>
  <si>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</si>
  <si>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</si>
  <si>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</si>
  <si>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</si>
  <si>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</si>
  <si>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</si>
  <si>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</si>
  <si>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</si>
  <si>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</si>
  <si>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</si>
  <si>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</si>
  <si>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</si>
  <si>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</si>
  <si>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</si>
  <si>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</si>
  <si>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</si>
  <si>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</si>
  <si>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</si>
  <si>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</si>
  <si>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</si>
  <si>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</si>
  <si>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</si>
  <si>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</si>
  <si>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</si>
  <si>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</si>
  <si>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</si>
  <si>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</si>
  <si>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</si>
  <si>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</si>
  <si>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</si>
  <si>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</si>
  <si>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</si>
  <si>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</si>
  <si>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</si>
  <si>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</si>
  <si>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</si>
  <si>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</si>
  <si>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</si>
  <si>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</si>
  <si>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</si>
  <si>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</si>
  <si>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</si>
  <si>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</si>
  <si>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</si>
  <si>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</si>
  <si>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</si>
  <si>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</si>
  <si>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</si>
  <si>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</si>
  <si>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</si>
  <si>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</si>
  <si>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</si>
  <si>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</si>
  <si>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</si>
  <si>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</si>
  <si>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</si>
  <si>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</si>
  <si>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</si>
  <si>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</si>
  <si>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</si>
  <si>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</si>
  <si>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</si>
  <si>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</si>
  <si>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</si>
  <si>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</si>
  <si>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</si>
  <si>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</si>
  <si>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</si>
  <si>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</si>
  <si>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</si>
  <si>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</si>
  <si>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</si>
  <si>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</si>
  <si>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</si>
  <si>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</si>
  <si>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</si>
  <si>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</si>
  <si>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</si>
  <si>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</si>
  <si>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</si>
  <si>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</si>
  <si>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</si>
  <si>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</si>
  <si>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</si>
  <si>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</si>
  <si>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</si>
  <si>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</si>
  <si>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</si>
  <si>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</si>
  <si>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</si>
  <si>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</si>
  <si>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</si>
  <si>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</si>
  <si>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</si>
  <si>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</si>
  <si>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</si>
  <si>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</si>
  <si>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</si>
  <si>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</si>
  <si>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</si>
  <si>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</si>
  <si>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</si>
  <si>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</si>
  <si>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</si>
  <si>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</si>
  <si>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</si>
  <si>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</si>
  <si>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</si>
  <si>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</si>
  <si>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</si>
  <si>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</si>
  <si>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</si>
  <si>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</si>
  <si>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</si>
  <si>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</si>
  <si>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</si>
  <si>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</si>
  <si>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</si>
  <si>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</si>
  <si>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</si>
  <si>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</si>
  <si>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</si>
  <si>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</si>
  <si>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</si>
  <si>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</si>
  <si>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</si>
  <si>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</si>
  <si>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</si>
  <si>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</si>
  <si>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</si>
  <si>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</si>
  <si>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</si>
  <si>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</si>
  <si>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</si>
  <si>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</si>
  <si>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</si>
  <si>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</si>
  <si>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</si>
  <si>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</si>
  <si>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</si>
  <si>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</si>
  <si>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</si>
  <si>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</si>
  <si>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</si>
  <si>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</si>
  <si>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</si>
  <si>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</si>
  <si>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</si>
  <si>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</si>
  <si>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</si>
  <si>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</si>
  <si>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</si>
  <si>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</si>
  <si>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</si>
  <si>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</si>
  <si>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</si>
  <si>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</si>
  <si>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</si>
  <si>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</si>
  <si>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</si>
  <si>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</si>
  <si>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</si>
  <si>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</si>
  <si>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</si>
  <si>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</si>
  <si>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</si>
  <si>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</si>
  <si>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</si>
  <si>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</si>
  <si>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</si>
  <si>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</si>
  <si>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</si>
  <si>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</si>
  <si>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</si>
  <si>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</si>
  <si>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</si>
  <si>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</si>
  <si>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</si>
  <si>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</si>
  <si>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</si>
  <si>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</si>
  <si>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</si>
  <si>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</si>
  <si>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</si>
  <si>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</si>
  <si>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</si>
  <si>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</si>
  <si>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</si>
  <si>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</si>
  <si>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</si>
  <si>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</si>
  <si>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</si>
  <si>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</si>
  <si>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</si>
  <si>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</si>
  <si>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</si>
  <si>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</si>
  <si>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</si>
  <si>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</si>
  <si>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</si>
  <si>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</si>
  <si>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</si>
  <si>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</si>
  <si>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</si>
  <si>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</si>
  <si>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</si>
  <si>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</si>
  <si>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</si>
  <si>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</si>
  <si>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</si>
  <si>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</si>
  <si>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</si>
  <si>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</si>
  <si>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</si>
  <si>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</si>
  <si>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</si>
  <si>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</si>
  <si>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</si>
  <si>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</si>
  <si>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</si>
  <si>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</si>
  <si>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</si>
  <si>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</si>
  <si>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</si>
  <si>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</si>
  <si>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</si>
  <si>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</si>
  <si>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</si>
  <si>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</si>
  <si>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</si>
  <si>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</si>
  <si>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</si>
  <si>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</si>
  <si>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</si>
  <si>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</si>
  <si>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</si>
  <si>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</si>
  <si>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</si>
  <si>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</si>
  <si>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</si>
  <si>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</si>
  <si>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</si>
  <si>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</si>
  <si>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</si>
  <si>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</si>
  <si>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</si>
  <si>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</si>
  <si>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</si>
  <si>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</si>
  <si>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</si>
  <si>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</si>
  <si>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</si>
  <si>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</si>
  <si>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</si>
  <si>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</si>
  <si>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</si>
  <si>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</si>
  <si>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</si>
  <si>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</si>
  <si>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</si>
  <si>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</si>
  <si>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</si>
  <si>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</si>
  <si>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</si>
  <si>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</si>
  <si>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</si>
  <si>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</si>
  <si>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</si>
  <si>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</si>
  <si>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</si>
  <si>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</si>
  <si>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</si>
  <si>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</si>
  <si>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</si>
  <si>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</si>
  <si>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</si>
  <si>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</si>
  <si>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</si>
  <si>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</si>
  <si>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</si>
  <si>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</si>
  <si>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</si>
  <si>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</si>
  <si>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</si>
  <si>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</si>
  <si>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</si>
  <si>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</si>
  <si>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</si>
  <si>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</si>
  <si>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</si>
  <si>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</si>
  <si>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</si>
  <si>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</si>
  <si>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</si>
  <si>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</si>
  <si>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</si>
  <si>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</si>
  <si>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</si>
  <si>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</si>
  <si>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</si>
  <si>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</si>
  <si>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</si>
  <si>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</si>
  <si>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</si>
  <si>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</si>
  <si>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</si>
  <si>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</si>
  <si>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</si>
  <si>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</si>
  <si>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</si>
  <si>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</si>
  <si>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</si>
  <si>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</si>
  <si>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</si>
  <si>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</si>
  <si>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</si>
  <si>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</si>
  <si>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</si>
  <si>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</si>
  <si>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</si>
  <si>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</si>
  <si>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</si>
  <si>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</si>
  <si>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</si>
  <si>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</si>
  <si>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</si>
  <si>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</si>
  <si>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</si>
  <si>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</si>
  <si>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</si>
  <si>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</si>
  <si>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</si>
  <si>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</si>
  <si>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</si>
  <si>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</si>
  <si>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</si>
  <si>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</si>
  <si>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</si>
  <si>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</si>
  <si>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</si>
  <si>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</si>
  <si>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</si>
  <si>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</si>
  <si>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</si>
  <si>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</si>
  <si>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</si>
  <si>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</si>
  <si>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</si>
  <si>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</si>
  <si>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</si>
  <si>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</si>
  <si>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</si>
  <si>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</si>
  <si>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</si>
  <si>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</si>
  <si>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</si>
  <si>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</si>
  <si>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</si>
  <si>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</si>
  <si>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</si>
  <si>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</si>
  <si>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</si>
  <si>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</si>
  <si>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</si>
  <si>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</si>
  <si>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</si>
  <si>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</si>
  <si>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</si>
  <si>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</si>
  <si>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</si>
  <si>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</si>
  <si>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</si>
  <si>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</si>
  <si>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</si>
  <si>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</si>
  <si>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</si>
  <si>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</si>
  <si>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</si>
  <si>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</si>
  <si>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</si>
  <si>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</si>
  <si>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</si>
  <si>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</si>
  <si>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</si>
  <si>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</si>
  <si>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</si>
  <si>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</si>
  <si>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</si>
  <si>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</si>
  <si>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</si>
  <si>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</si>
  <si>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</si>
  <si>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</si>
  <si>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</si>
  <si>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</si>
  <si>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</si>
  <si>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</si>
  <si>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</si>
  <si>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</si>
  <si>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</si>
  <si>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</si>
  <si>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</si>
  <si>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</si>
  <si>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</si>
  <si>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</si>
  <si>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</si>
  <si>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</si>
  <si>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</si>
  <si>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</si>
  <si>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</si>
  <si>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</si>
  <si>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</si>
  <si>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</si>
  <si>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</si>
  <si>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</si>
  <si>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</si>
  <si>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</si>
  <si>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</si>
  <si>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</si>
  <si>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</si>
  <si>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</si>
  <si>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</si>
  <si>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</si>
  <si>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</si>
  <si>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</si>
  <si>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</si>
  <si>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</si>
  <si>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</si>
  <si>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</si>
  <si>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</si>
  <si>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</si>
  <si>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</si>
  <si>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</si>
  <si>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</si>
  <si>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</si>
  <si>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</si>
  <si>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</si>
  <si>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</si>
  <si>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</si>
  <si>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</si>
  <si>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</si>
  <si>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</si>
  <si>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</si>
  <si>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</si>
  <si>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</si>
  <si>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</si>
  <si>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</si>
  <si>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</si>
  <si>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</si>
  <si>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</si>
  <si>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</si>
  <si>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</si>
  <si>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</si>
  <si>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</si>
  <si>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</si>
  <si>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</si>
  <si>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</si>
  <si>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</si>
  <si>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</si>
  <si>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</si>
  <si>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</si>
  <si>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</si>
  <si>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</si>
  <si>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</si>
  <si>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</si>
  <si>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</si>
  <si>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</si>
  <si>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</si>
  <si>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</si>
  <si>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</si>
  <si>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</si>
  <si>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</si>
  <si>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</si>
  <si>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</si>
  <si>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</si>
  <si>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</si>
  <si>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</si>
  <si>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</si>
  <si>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</si>
  <si>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</si>
  <si>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</si>
  <si>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</si>
  <si>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</si>
  <si>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</si>
  <si>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</si>
  <si>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</si>
  <si>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</si>
  <si>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</si>
  <si>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</si>
  <si>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</si>
  <si>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</si>
  <si>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</si>
  <si>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</si>
  <si>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</si>
  <si>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</si>
  <si>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</si>
  <si>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</si>
  <si>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</si>
  <si>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</si>
  <si>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</si>
  <si>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</si>
  <si>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</si>
  <si>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</si>
  <si>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</si>
  <si>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</si>
  <si>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</si>
  <si>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</si>
  <si>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</si>
  <si>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</si>
  <si>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</si>
  <si>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</si>
  <si>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</si>
  <si>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</si>
  <si>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</si>
  <si>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</si>
  <si>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</si>
  <si>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</si>
  <si>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</si>
  <si>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</si>
  <si>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</si>
  <si>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</si>
  <si>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</si>
  <si>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</si>
  <si>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</si>
  <si>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</si>
  <si>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</si>
  <si>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</si>
  <si>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</si>
  <si>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</si>
  <si>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</si>
  <si>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</si>
  <si>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</si>
  <si>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</si>
  <si>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</si>
  <si>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</si>
  <si>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</si>
  <si>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</si>
  <si>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</si>
  <si>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</si>
  <si>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</si>
  <si>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</si>
  <si>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</si>
  <si>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</si>
  <si>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</si>
  <si>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</si>
  <si>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</si>
  <si>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</si>
  <si>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</si>
  <si>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</si>
  <si>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</si>
  <si>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</si>
  <si>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</si>
  <si>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</si>
  <si>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</si>
  <si>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</si>
  <si>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</si>
  <si>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</si>
  <si>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</si>
  <si>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</si>
  <si>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</si>
  <si>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</si>
  <si>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</si>
  <si>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</si>
  <si>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</si>
  <si>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</si>
  <si>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</si>
  <si>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</si>
  <si>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</si>
  <si>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</si>
  <si>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</si>
  <si>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</si>
  <si>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</si>
  <si>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</si>
  <si>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</si>
  <si>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</si>
  <si>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</si>
  <si>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</si>
  <si>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</si>
  <si>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</si>
  <si>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</si>
  <si>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</si>
  <si>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</si>
  <si>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</si>
  <si>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</si>
  <si>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</si>
  <si>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</si>
  <si>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</si>
  <si>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</si>
  <si>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</si>
  <si>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</si>
  <si>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</si>
  <si>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</si>
  <si>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</si>
  <si>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</si>
  <si>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</si>
  <si>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</si>
  <si>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</si>
  <si>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</si>
  <si>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</si>
  <si>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</si>
  <si>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</si>
  <si>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</si>
  <si>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</si>
  <si>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</si>
  <si>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</si>
  <si>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</si>
  <si>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</si>
  <si>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</si>
  <si>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</si>
  <si>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</si>
  <si>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</si>
  <si>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</si>
  <si>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</si>
  <si>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</si>
  <si>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</si>
  <si>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</si>
  <si>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</si>
  <si>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</si>
  <si>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</si>
  <si>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</si>
  <si>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</si>
  <si>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</si>
  <si>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</si>
  <si>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</si>
  <si>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</si>
  <si>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</si>
  <si>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</si>
  <si>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</si>
  <si>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</si>
  <si>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</si>
  <si>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</si>
  <si>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</si>
  <si>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</si>
  <si>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</si>
  <si>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</si>
  <si>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</si>
  <si>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</si>
  <si>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</si>
  <si>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</si>
  <si>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</si>
  <si>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</si>
  <si>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</si>
  <si>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</si>
  <si>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</si>
  <si>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</si>
  <si>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</si>
  <si>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</si>
  <si>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</si>
  <si>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</si>
  <si>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</si>
  <si>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</si>
  <si>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</si>
  <si>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</si>
  <si>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</si>
  <si>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</si>
  <si>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</si>
  <si>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</si>
  <si>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</si>
  <si>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</si>
  <si>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</si>
  <si>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</si>
  <si>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</si>
  <si>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</si>
  <si>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</si>
  <si>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</si>
  <si>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</si>
  <si>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</si>
  <si>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</si>
  <si>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</si>
  <si>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</si>
  <si>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</si>
  <si>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</si>
  <si>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</si>
  <si>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</si>
  <si>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</si>
  <si>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</si>
  <si>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</si>
  <si>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</si>
  <si>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</si>
  <si>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</si>
  <si>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</si>
  <si>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</si>
  <si>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</si>
  <si>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</si>
  <si>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</si>
  <si>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</si>
  <si>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</si>
  <si>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</si>
  <si>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</si>
  <si>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</si>
  <si>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</si>
  <si>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</si>
  <si>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</si>
  <si>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</si>
  <si>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</si>
  <si>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</si>
  <si>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</si>
  <si>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</si>
  <si>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</si>
  <si>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</si>
  <si>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</si>
  <si>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</si>
  <si>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</si>
  <si>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</si>
  <si>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</si>
  <si>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</si>
  <si>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</si>
  <si>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</si>
  <si>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</si>
  <si>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</si>
  <si>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</si>
  <si>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</si>
  <si>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</si>
  <si>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</si>
  <si>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</si>
  <si>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</si>
  <si>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</si>
  <si>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</si>
  <si>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</si>
  <si>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</si>
  <si>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</si>
  <si>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</si>
  <si>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</si>
  <si>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</si>
  <si>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</si>
  <si>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</si>
  <si>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</si>
  <si>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</si>
  <si>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</si>
  <si>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</si>
  <si>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</si>
  <si>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</si>
  <si>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</si>
  <si>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</si>
  <si>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</si>
  <si>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</si>
  <si>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</si>
  <si>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</si>
  <si>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</si>
  <si>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</si>
  <si>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</si>
  <si>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</si>
  <si>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</si>
  <si>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</si>
  <si>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</si>
  <si>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</si>
  <si>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</si>
  <si>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</si>
  <si>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</si>
  <si>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</si>
  <si>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</si>
  <si>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</si>
  <si>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</si>
  <si>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</si>
  <si>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</si>
  <si>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</si>
  <si>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</si>
  <si>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</si>
  <si>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</si>
  <si>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</si>
  <si>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</si>
  <si>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</si>
  <si>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</si>
  <si>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</si>
  <si>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</si>
  <si>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</si>
  <si>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</si>
  <si>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</si>
  <si>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</si>
  <si>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</si>
  <si>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</si>
  <si>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</si>
  <si>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</si>
  <si>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</si>
  <si>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</si>
  <si>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</si>
  <si>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</si>
  <si>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</si>
  <si>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</si>
  <si>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</si>
  <si>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</si>
  <si>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</si>
  <si>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</si>
  <si>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</si>
  <si>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</si>
  <si>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</si>
  <si>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</si>
  <si>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</si>
  <si>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</si>
  <si>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</si>
  <si>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</si>
  <si>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</si>
  <si>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</si>
  <si>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</si>
  <si>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</si>
  <si>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</si>
  <si>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</si>
  <si>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</si>
  <si>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</si>
  <si>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</si>
  <si>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</si>
  <si>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</si>
  <si>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</si>
  <si>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</si>
  <si>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</si>
  <si>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</si>
  <si>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</si>
  <si>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</si>
  <si>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</si>
  <si>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</si>
  <si>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</si>
  <si>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</si>
  <si>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</si>
  <si>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</si>
  <si>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</si>
  <si>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</si>
  <si>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</si>
  <si>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</si>
  <si>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</si>
  <si>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</si>
  <si>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</si>
  <si>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</si>
  <si>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</si>
  <si>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</si>
  <si>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</si>
  <si>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</si>
  <si>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</si>
  <si>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</si>
  <si>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</si>
  <si>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</si>
  <si>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</si>
  <si>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</si>
  <si>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</si>
  <si>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</si>
  <si>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</si>
  <si>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</si>
  <si>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</si>
  <si>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</si>
  <si>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</si>
  <si>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</si>
  <si>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</si>
  <si>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</si>
  <si>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</si>
  <si>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</si>
  <si>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</si>
  <si>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</si>
  <si>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</si>
  <si>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</si>
  <si>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</si>
  <si>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</si>
  <si>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</si>
  <si>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</si>
  <si>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</si>
  <si>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</si>
  <si>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</si>
  <si>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</si>
  <si>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</si>
  <si>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</si>
  <si>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</si>
  <si>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</si>
  <si>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</si>
  <si>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</si>
  <si>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</si>
  <si>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</si>
  <si>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</si>
  <si>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</si>
  <si>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</si>
  <si>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</si>
  <si>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</si>
  <si>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</si>
  <si>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</si>
  <si>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</si>
  <si>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</si>
  <si>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</si>
  <si>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</si>
  <si>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</si>
  <si>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</si>
  <si>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</si>
  <si>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</si>
  <si>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</si>
  <si>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</si>
  <si>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</si>
  <si>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</si>
  <si>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</si>
  <si>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</si>
  <si>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</si>
  <si>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</si>
  <si>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</si>
  <si>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</si>
  <si>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</si>
  <si>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</si>
  <si>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</si>
  <si>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</si>
  <si>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</si>
  <si>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</si>
  <si>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</si>
  <si>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</si>
  <si>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</si>
  <si>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</si>
  <si>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</si>
  <si>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</si>
  <si>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</si>
  <si>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</si>
  <si>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</si>
  <si>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</si>
  <si>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</si>
  <si>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</si>
  <si>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</si>
  <si>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</si>
  <si>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</si>
  <si>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</si>
  <si>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</si>
  <si>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</si>
  <si>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</si>
  <si>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</si>
  <si>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</si>
  <si>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</si>
  <si>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</si>
  <si>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</si>
  <si>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</si>
  <si>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</si>
  <si>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</si>
  <si>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</si>
  <si>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</si>
  <si>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</si>
  <si>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</si>
  <si>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</si>
  <si>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</si>
  <si>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</si>
  <si>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</si>
  <si>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</si>
  <si>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</si>
  <si>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</si>
  <si>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</si>
  <si>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</si>
  <si>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</si>
  <si>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</si>
  <si>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</si>
  <si>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</si>
  <si>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</si>
  <si>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</si>
  <si>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</si>
  <si>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</si>
  <si>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</si>
  <si>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</si>
  <si>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</si>
  <si>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</si>
  <si>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</si>
  <si>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</si>
  <si>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</si>
  <si>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</si>
  <si>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</si>
  <si>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</si>
  <si>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</si>
  <si>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</si>
  <si>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</si>
  <si>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</si>
  <si>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</si>
  <si>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</si>
  <si>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</si>
  <si>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</si>
  <si>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</si>
  <si>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</si>
  <si>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</si>
  <si>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</si>
  <si>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</si>
  <si>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</si>
  <si>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</si>
  <si>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</si>
  <si>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</si>
  <si>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</si>
  <si>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</si>
  <si>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</si>
  <si>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</si>
  <si>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</si>
  <si>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</si>
  <si>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</si>
  <si>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</si>
  <si>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</si>
  <si>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</si>
  <si>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</si>
  <si>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</si>
  <si>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</si>
  <si>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</si>
  <si>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</si>
  <si>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</si>
  <si>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</si>
  <si>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</si>
  <si>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</si>
  <si>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</si>
  <si>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</si>
  <si>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</si>
  <si>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</si>
  <si>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</si>
  <si>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</si>
  <si>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</si>
  <si>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</si>
  <si>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</si>
  <si>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</si>
  <si>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</si>
  <si>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</si>
  <si>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</si>
  <si>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</si>
  <si>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</si>
  <si>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</si>
  <si>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</si>
  <si>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</si>
  <si>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</si>
  <si>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</si>
  <si>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</si>
  <si>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</si>
  <si>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</si>
  <si>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</si>
  <si>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</si>
  <si>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</si>
  <si>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</si>
  <si>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</si>
  <si>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</si>
  <si>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</si>
  <si>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</si>
  <si>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</si>
  <si>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</si>
  <si>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</si>
  <si>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</si>
  <si>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</si>
  <si>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</si>
  <si>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</si>
  <si>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</si>
  <si>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</si>
  <si>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</si>
  <si>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</si>
  <si>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</si>
  <si>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</si>
  <si>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</si>
  <si>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</si>
  <si>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</si>
  <si>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</si>
  <si>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</si>
  <si>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</si>
  <si>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</si>
  <si>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</si>
  <si>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</si>
  <si>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</si>
  <si>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</si>
  <si>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</si>
  <si>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</si>
  <si>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</si>
  <si>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</si>
  <si>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</si>
  <si>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</si>
  <si>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</si>
  <si>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</si>
  <si>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</si>
  <si>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</si>
  <si>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</si>
  <si>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</si>
  <si>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</si>
  <si>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</si>
  <si>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</si>
  <si>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</si>
  <si>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</si>
  <si>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</si>
  <si>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</si>
  <si>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</si>
  <si>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</si>
  <si>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</si>
  <si>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</si>
  <si>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</si>
  <si>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</si>
  <si>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</si>
  <si>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</si>
  <si>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</si>
  <si>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</si>
  <si>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</si>
  <si>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</si>
  <si>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</si>
  <si>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</si>
  <si>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</si>
  <si>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</si>
  <si>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</si>
  <si>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</si>
  <si>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</si>
  <si>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</si>
  <si>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</si>
  <si>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</si>
  <si>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</si>
  <si>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</si>
  <si>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</si>
  <si>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</si>
  <si>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</si>
  <si>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</si>
  <si>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</si>
  <si>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</si>
  <si>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</si>
  <si>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</si>
  <si>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</si>
  <si>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</si>
  <si>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</si>
  <si>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</si>
  <si>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</si>
  <si>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</si>
  <si>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</si>
  <si>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</si>
  <si>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</si>
  <si>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</si>
  <si>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</si>
  <si>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</si>
  <si>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</si>
  <si>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</si>
  <si>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</si>
  <si>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</si>
  <si>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</si>
  <si>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</si>
  <si>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</si>
  <si>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</si>
  <si>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</si>
  <si>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</si>
  <si>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</si>
  <si>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</si>
  <si>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</si>
  <si>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</si>
  <si>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</si>
  <si>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</si>
  <si>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</si>
  <si>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</si>
  <si>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</si>
  <si>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</si>
  <si>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</si>
  <si>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</si>
  <si>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</si>
  <si>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</si>
  <si>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</si>
  <si>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</si>
  <si>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</si>
  <si>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</si>
  <si>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</si>
  <si>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</si>
  <si>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</si>
  <si>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</si>
  <si>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</si>
  <si>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</si>
  <si>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</si>
  <si>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</si>
  <si>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</si>
  <si>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</si>
  <si>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</si>
  <si>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</si>
  <si>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</si>
  <si>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</si>
  <si>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</si>
  <si>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</si>
  <si>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</si>
  <si>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</si>
  <si>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</si>
  <si>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</si>
  <si>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</si>
  <si>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</si>
  <si>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</si>
  <si>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</si>
  <si>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</si>
  <si>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</si>
  <si>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</si>
  <si>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</si>
  <si>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</si>
  <si>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</si>
  <si>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</si>
  <si>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</si>
  <si>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</si>
  <si>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</si>
  <si>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</si>
  <si>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</si>
  <si>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</si>
  <si>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</si>
  <si>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</si>
  <si>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</si>
  <si>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</si>
  <si>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</si>
  <si>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</si>
  <si>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</si>
  <si>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</si>
  <si>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</si>
  <si>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</si>
  <si>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</si>
  <si>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</si>
  <si>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</si>
  <si>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</si>
  <si>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</si>
  <si>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</si>
  <si>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</si>
  <si>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</si>
  <si>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</si>
  <si>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</si>
  <si>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</si>
  <si>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</si>
  <si>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</si>
  <si>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</si>
  <si>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</si>
  <si>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</si>
  <si>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</si>
  <si>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</si>
  <si>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</si>
  <si>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</si>
  <si>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</si>
  <si>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</si>
  <si>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</si>
  <si>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</si>
  <si>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</si>
  <si>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</si>
  <si>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</si>
  <si>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</si>
  <si>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</si>
  <si>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</si>
  <si>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</si>
  <si>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</si>
  <si>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</si>
  <si>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</si>
  <si>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</si>
  <si>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</si>
  <si>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</si>
  <si>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</si>
  <si>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</si>
  <si>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</si>
  <si>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</si>
  <si>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</si>
  <si>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</si>
  <si>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</si>
  <si>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</si>
  <si>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</si>
  <si>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</si>
  <si>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</si>
  <si>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</si>
  <si>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</si>
  <si>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</si>
  <si>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</si>
  <si>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</si>
  <si>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</si>
  <si>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</si>
  <si>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</si>
  <si>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</si>
  <si>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</si>
  <si>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</si>
  <si>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</si>
  <si>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</si>
  <si>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</si>
  <si>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</si>
  <si>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</si>
  <si>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</si>
  <si>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</si>
  <si>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</si>
  <si>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</si>
  <si>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</si>
  <si>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</si>
  <si>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</si>
  <si>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</si>
  <si>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</si>
  <si>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</si>
  <si>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</si>
  <si>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</si>
  <si>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</si>
  <si>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</si>
  <si>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</si>
  <si>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</si>
  <si>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</si>
  <si>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</si>
  <si>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</si>
  <si>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</si>
  <si>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</si>
  <si>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</si>
  <si>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</si>
  <si>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</si>
  <si>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</si>
  <si>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</si>
  <si>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</si>
  <si>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</si>
  <si>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</si>
  <si>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</si>
  <si>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</si>
  <si>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</si>
  <si>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</si>
  <si>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</si>
  <si>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</si>
  <si>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</si>
  <si>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</si>
  <si>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</si>
  <si>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</si>
  <si>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</si>
  <si>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</si>
  <si>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</si>
  <si>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</si>
  <si>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</si>
  <si>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</si>
  <si>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</si>
  <si>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</si>
  <si>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</si>
  <si>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</si>
  <si>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</si>
  <si>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</si>
  <si>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</si>
  <si>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</si>
  <si>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</si>
  <si>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</si>
  <si>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</si>
  <si>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</si>
  <si>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</si>
  <si>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</si>
  <si>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</si>
  <si>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</si>
  <si>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</si>
  <si>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</si>
  <si>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</si>
  <si>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</si>
  <si>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</si>
  <si>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</si>
  <si>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</si>
  <si>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</si>
  <si>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</si>
  <si>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</si>
  <si>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</si>
  <si>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</si>
  <si>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</si>
  <si>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</si>
  <si>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</si>
  <si>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</si>
  <si>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</si>
  <si>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</si>
  <si>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</si>
  <si>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</si>
  <si>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</si>
  <si>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</si>
  <si>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</si>
  <si>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</si>
  <si>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</si>
  <si>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</si>
  <si>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</si>
  <si>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</si>
  <si>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</si>
  <si>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</si>
  <si>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</si>
  <si>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</si>
  <si>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</si>
  <si>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</si>
  <si>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</si>
  <si>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</si>
  <si>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</si>
  <si>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</si>
  <si>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</si>
  <si>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</si>
  <si>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</si>
  <si>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</si>
  <si>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</si>
  <si>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</si>
  <si>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</si>
  <si>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</si>
  <si>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</si>
  <si>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</si>
  <si>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</si>
  <si>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</si>
  <si>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</si>
  <si>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</si>
  <si>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</si>
  <si>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</si>
  <si>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</si>
  <si>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</si>
  <si>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</si>
  <si>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</si>
  <si>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</si>
  <si>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</si>
  <si>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</si>
  <si>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</si>
  <si>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</si>
  <si>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</si>
  <si>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</si>
  <si>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</si>
  <si>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</si>
  <si>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</si>
  <si>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</si>
  <si>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</si>
  <si>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</si>
  <si>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</si>
  <si>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</si>
  <si>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</si>
  <si>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</si>
  <si>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</si>
  <si>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</si>
  <si>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</si>
  <si>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</si>
  <si>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</si>
  <si>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</si>
  <si>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</si>
  <si>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</si>
  <si>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</si>
  <si>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</si>
  <si>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</si>
  <si>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</si>
  <si>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</si>
  <si>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</si>
  <si>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</si>
  <si>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</si>
  <si>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</si>
  <si>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</si>
  <si>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</si>
  <si>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</si>
  <si>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</si>
  <si>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</si>
  <si>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</si>
  <si>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</si>
  <si>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</si>
  <si>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</si>
  <si>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</si>
  <si>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</si>
  <si>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</si>
  <si>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</si>
  <si>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</si>
  <si>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</si>
  <si>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</si>
  <si>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</si>
  <si>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</si>
  <si>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</si>
  <si>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</si>
  <si>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</si>
  <si>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</si>
  <si>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</si>
  <si>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</si>
  <si>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</si>
  <si>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</si>
  <si>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</si>
  <si>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</si>
  <si>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</si>
  <si>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</si>
  <si>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</si>
  <si>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</si>
  <si>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</si>
  <si>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</si>
  <si>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</si>
  <si>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</si>
  <si>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</si>
  <si>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</si>
  <si>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</si>
  <si>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</si>
  <si>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</si>
  <si>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</si>
  <si>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</si>
  <si>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</si>
  <si>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</si>
  <si>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</si>
  <si>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</si>
  <si>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</si>
  <si>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</si>
  <si>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</si>
  <si>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</si>
  <si>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</si>
  <si>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</si>
  <si>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</si>
  <si>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</si>
  <si>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</si>
  <si>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</si>
  <si>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</si>
  <si>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</si>
  <si>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</si>
  <si>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</si>
  <si>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</si>
  <si>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</si>
  <si>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</si>
  <si>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</si>
  <si>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</si>
  <si>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</si>
  <si>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</si>
  <si>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</si>
  <si>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</si>
  <si>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</si>
  <si>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</si>
  <si>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</si>
  <si>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</si>
  <si>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</si>
  <si>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</si>
  <si>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</si>
  <si>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</si>
  <si>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</si>
  <si>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</si>
  <si>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</si>
  <si>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</si>
  <si>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</si>
  <si>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</si>
  <si>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</si>
  <si>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</si>
  <si>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</si>
  <si>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</si>
  <si>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</si>
  <si>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</si>
  <si>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</si>
  <si>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</si>
  <si>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</si>
  <si>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</si>
  <si>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</si>
  <si>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</si>
  <si>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</si>
  <si>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</si>
  <si>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</si>
  <si>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</si>
  <si>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</si>
  <si>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</si>
  <si>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</si>
  <si>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</si>
  <si>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</si>
  <si>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</si>
  <si>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</si>
  <si>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</si>
  <si>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</si>
  <si>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</si>
  <si>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</si>
  <si>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</si>
  <si>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</si>
  <si>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</si>
  <si>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</si>
  <si>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</si>
  <si>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</si>
  <si>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</si>
  <si>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</si>
  <si>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</si>
  <si>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</si>
  <si>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</si>
  <si>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</si>
  <si>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</si>
  <si>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</si>
  <si>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</si>
  <si>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</si>
  <si>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</si>
  <si>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</si>
  <si>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</si>
  <si>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</si>
  <si>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</si>
  <si>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</si>
  <si>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</si>
  <si>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</si>
  <si>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</si>
  <si>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</si>
  <si>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</si>
  <si>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</si>
  <si>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</si>
  <si>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</si>
  <si>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</si>
  <si>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</si>
  <si>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</si>
  <si>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</si>
  <si>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</si>
  <si>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</si>
  <si>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</si>
  <si>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</si>
  <si>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</si>
  <si>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</si>
  <si>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</si>
  <si>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</si>
  <si>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</si>
  <si>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</si>
  <si>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</si>
  <si>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</si>
  <si>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</si>
  <si>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</si>
  <si>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</si>
  <si>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</si>
  <si>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</si>
  <si>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</si>
  <si>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</si>
  <si>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</si>
  <si>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</si>
  <si>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</si>
  <si>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</si>
  <si>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</si>
  <si>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</si>
  <si>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</si>
  <si>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</si>
  <si>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</si>
  <si>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</si>
  <si>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</si>
  <si>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</si>
  <si>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</si>
  <si>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</si>
  <si>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</si>
  <si>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</si>
  <si>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</si>
  <si>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</si>
  <si>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</si>
  <si>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</si>
  <si>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</si>
  <si>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</si>
  <si>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</si>
  <si>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</si>
  <si>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</si>
  <si>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</si>
  <si>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</si>
  <si>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</si>
  <si>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</si>
  <si>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</si>
  <si>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</si>
  <si>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</si>
  <si>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</si>
  <si>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</si>
  <si>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</si>
  <si>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</si>
  <si>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</si>
  <si>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</si>
  <si>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</si>
  <si>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</si>
  <si>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</si>
  <si>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</si>
  <si>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</si>
  <si>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</si>
  <si>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</si>
  <si>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</si>
  <si>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</si>
  <si>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</si>
  <si>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</si>
  <si>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</si>
  <si>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</si>
  <si>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</si>
  <si>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</si>
  <si>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</si>
  <si>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</si>
  <si>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</si>
  <si>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</si>
  <si>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</si>
  <si>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</si>
  <si>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</si>
  <si>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</si>
  <si>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</si>
  <si>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</si>
  <si>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</si>
  <si>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</si>
  <si>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</si>
  <si>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</si>
  <si>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</si>
  <si>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</si>
  <si>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</si>
  <si>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</si>
  <si>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</si>
  <si>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</si>
  <si>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</si>
  <si>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</si>
  <si>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</si>
  <si>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</si>
  <si>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</si>
  <si>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</si>
  <si>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</si>
  <si>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</si>
  <si>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</si>
  <si>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</si>
  <si>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</si>
  <si>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</si>
  <si>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</si>
  <si>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</si>
  <si>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</si>
  <si>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</si>
  <si>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</si>
  <si>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</si>
  <si>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</si>
  <si>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</si>
  <si>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</si>
  <si>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</si>
  <si>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</si>
  <si>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</si>
  <si>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</si>
  <si>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</si>
  <si>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</si>
  <si>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</si>
  <si>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</si>
  <si>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</si>
  <si>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</si>
  <si>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</si>
  <si>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</si>
  <si>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</si>
  <si>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</si>
  <si>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</si>
  <si>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</si>
  <si>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</si>
  <si>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</si>
  <si>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</si>
  <si>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</si>
  <si>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</si>
  <si>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</si>
  <si>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</si>
  <si>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</si>
  <si>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</si>
  <si>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</si>
  <si>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</si>
  <si>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</si>
  <si>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</si>
  <si>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</si>
  <si>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</si>
  <si>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</si>
  <si>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</si>
  <si>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</si>
  <si>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</si>
  <si>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</si>
  <si>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</si>
  <si>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</si>
  <si>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</si>
  <si>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</si>
  <si>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</si>
  <si>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</si>
  <si>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</si>
  <si>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</si>
  <si>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</si>
  <si>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</si>
  <si>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</si>
  <si>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</si>
  <si>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</si>
  <si>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</si>
  <si>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</si>
  <si>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</si>
  <si>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</si>
  <si>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</si>
  <si>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</si>
  <si>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</si>
  <si>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</si>
  <si>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</si>
  <si>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</si>
  <si>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</si>
  <si>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</si>
  <si>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</si>
  <si>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</si>
  <si>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</si>
  <si>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</si>
  <si>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</si>
  <si>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</si>
  <si>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</si>
  <si>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</si>
  <si>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</si>
  <si>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</si>
  <si>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</si>
  <si>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</si>
  <si>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</si>
  <si>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</si>
  <si>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</si>
  <si>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</si>
  <si>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</si>
  <si>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</si>
  <si>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</si>
  <si>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</si>
  <si>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</si>
  <si>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</si>
  <si>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</si>
  <si>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</si>
  <si>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</si>
  <si>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</si>
  <si>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</si>
  <si>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</si>
  <si>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</si>
  <si>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</si>
  <si>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</si>
  <si>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</si>
  <si>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</si>
  <si>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</si>
  <si>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</si>
  <si>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</si>
  <si>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</si>
  <si>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</si>
  <si>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</si>
  <si>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</si>
  <si>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</si>
  <si>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</si>
  <si>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</si>
  <si>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</si>
  <si>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</si>
  <si>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</si>
  <si>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</si>
  <si>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</si>
  <si>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</si>
  <si>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</si>
  <si>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</si>
  <si>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</si>
  <si>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</si>
  <si>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</si>
  <si>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</si>
  <si>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</si>
  <si>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</si>
  <si>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</si>
  <si>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</si>
  <si>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</si>
  <si>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</si>
  <si>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</si>
  <si>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</si>
  <si>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</si>
  <si>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</si>
  <si>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</si>
  <si>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</si>
  <si>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</si>
  <si>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</si>
  <si>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</si>
  <si>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</si>
  <si>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</si>
  <si>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</si>
  <si>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</si>
  <si>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</si>
  <si>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</si>
  <si>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</si>
  <si>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</si>
  <si>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</si>
  <si>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</si>
  <si>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</si>
  <si>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</si>
  <si>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</si>
  <si>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</si>
  <si>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</si>
  <si>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</si>
  <si>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</si>
  <si>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</si>
  <si>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</si>
  <si>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</si>
  <si>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</si>
  <si>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</si>
  <si>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</si>
  <si>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</si>
  <si>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</si>
  <si>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</si>
  <si>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</si>
  <si>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</si>
  <si>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</si>
  <si>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</si>
  <si>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</si>
  <si>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</si>
  <si>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</si>
  <si>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</si>
  <si>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</si>
  <si>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</si>
  <si>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</si>
  <si>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</si>
  <si>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</si>
  <si>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</si>
  <si>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</si>
  <si>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</si>
  <si>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</si>
  <si>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</si>
  <si>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</si>
  <si>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</si>
  <si>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</si>
  <si>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</si>
  <si>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</si>
  <si>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</si>
  <si>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</si>
  <si>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</si>
  <si>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</si>
  <si>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</si>
  <si>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</si>
  <si>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</si>
  <si>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</si>
  <si>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</si>
  <si>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</si>
  <si>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</si>
  <si>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</si>
  <si>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</si>
  <si>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</si>
  <si>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</si>
  <si>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</si>
  <si>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</si>
  <si>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</si>
  <si>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</si>
  <si>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</si>
  <si>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</si>
  <si>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</si>
  <si>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</si>
  <si>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</si>
  <si>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</si>
  <si>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</si>
  <si>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</si>
  <si>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</si>
  <si>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</si>
  <si>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</si>
  <si>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</si>
  <si>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</si>
  <si>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</si>
  <si>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</si>
  <si>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</si>
  <si>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</si>
  <si>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</si>
  <si>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</si>
  <si>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</si>
  <si>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</si>
  <si>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</si>
  <si>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</si>
  <si>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</si>
  <si>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</si>
  <si>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</si>
  <si>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</si>
  <si>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</si>
  <si>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</si>
  <si>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</si>
  <si>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</si>
  <si>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</si>
  <si>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</si>
  <si>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</si>
  <si>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</si>
  <si>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</si>
  <si>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</si>
  <si>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</si>
  <si>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</si>
  <si>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</si>
  <si>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</si>
  <si>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</si>
  <si>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</si>
  <si>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</si>
  <si>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</si>
  <si>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</si>
  <si>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</si>
  <si>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</si>
  <si>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</si>
  <si>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</si>
  <si>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</si>
  <si>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</si>
  <si>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</si>
  <si>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</si>
  <si>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</si>
  <si>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</si>
  <si>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</si>
  <si>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</si>
  <si>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</si>
  <si>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</si>
  <si>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</si>
  <si>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</si>
  <si>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</si>
  <si>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</si>
  <si>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</si>
  <si>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</si>
  <si>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</si>
  <si>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</si>
  <si>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</si>
  <si>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</si>
  <si>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</si>
  <si>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</si>
  <si>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</si>
  <si>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</si>
  <si>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</si>
  <si>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</si>
  <si>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</si>
  <si>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</si>
  <si>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</si>
  <si>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</si>
  <si>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</si>
  <si>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</si>
  <si>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</si>
  <si>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</si>
  <si>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</si>
  <si>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</si>
  <si>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</si>
  <si>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</si>
  <si>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</si>
  <si>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</si>
  <si>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</si>
  <si>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</si>
  <si>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</si>
  <si>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</si>
  <si>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</si>
  <si>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</si>
  <si>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</si>
  <si>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</si>
  <si>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</si>
  <si>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</si>
  <si>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</si>
  <si>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</si>
  <si>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</si>
  <si>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</si>
  <si>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</si>
  <si>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</si>
  <si>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</si>
  <si>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</si>
  <si>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</si>
  <si>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</si>
  <si>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</si>
  <si>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</si>
  <si>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</si>
  <si>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</si>
  <si>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</si>
  <si>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</si>
  <si>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</si>
  <si>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</si>
  <si>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</si>
  <si>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</si>
  <si>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</si>
  <si>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</si>
  <si>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</si>
  <si>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</si>
  <si>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</si>
  <si>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</si>
  <si>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</si>
  <si>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</si>
  <si>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</si>
  <si>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</si>
  <si>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</si>
  <si>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</si>
  <si>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</si>
  <si>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</si>
  <si>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</si>
  <si>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</si>
  <si>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</si>
  <si>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</si>
  <si>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</si>
  <si>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</si>
  <si>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</si>
  <si>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</si>
  <si>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</si>
  <si>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</si>
  <si>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</si>
  <si>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</si>
  <si>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</si>
  <si>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</si>
  <si>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</si>
  <si>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</si>
  <si>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</si>
  <si>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</si>
  <si>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</si>
  <si>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</si>
  <si>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</si>
  <si>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</si>
  <si>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</si>
  <si>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</si>
  <si>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</si>
  <si>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</si>
  <si>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</si>
  <si>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</si>
  <si>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</si>
  <si>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</si>
  <si>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</si>
  <si>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</si>
  <si>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</si>
  <si>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</si>
  <si>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</si>
  <si>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</si>
  <si>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</si>
  <si>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</si>
  <si>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</si>
  <si>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</si>
  <si>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</si>
  <si>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</si>
  <si>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</si>
  <si>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</si>
  <si>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</si>
  <si>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</si>
  <si>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</si>
  <si>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</si>
  <si>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</si>
  <si>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</si>
  <si>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</si>
  <si>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</si>
  <si>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</si>
  <si>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</si>
  <si>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</si>
  <si>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</si>
  <si>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</si>
  <si>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</si>
  <si>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</si>
  <si>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</si>
  <si>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</si>
  <si>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</si>
  <si>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</si>
  <si>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</si>
  <si>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</si>
  <si>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</si>
  <si>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</si>
  <si>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</si>
  <si>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</si>
  <si>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</si>
  <si>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</si>
  <si>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</si>
  <si>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</si>
  <si>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</si>
  <si>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</si>
  <si>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</si>
  <si>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</si>
  <si>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</si>
  <si>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</si>
  <si>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</si>
  <si>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</si>
  <si>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</si>
  <si>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</si>
  <si>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</si>
  <si>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</si>
  <si>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</si>
  <si>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</si>
  <si>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</si>
  <si>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</si>
  <si>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</si>
  <si>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</si>
  <si>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</si>
  <si>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</si>
  <si>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</si>
  <si>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</si>
  <si>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</si>
  <si>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</si>
  <si>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</si>
  <si>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</si>
  <si>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</si>
  <si>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</si>
  <si>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</si>
  <si>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</si>
  <si>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</si>
  <si>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</si>
  <si>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</si>
  <si>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</si>
  <si>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</si>
  <si>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</si>
  <si>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</si>
  <si>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</si>
  <si>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</si>
  <si>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</si>
  <si>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</si>
  <si>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</si>
  <si>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</si>
  <si>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</si>
  <si>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</si>
  <si>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</si>
  <si>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</si>
  <si>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</si>
  <si>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</si>
  <si>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</si>
  <si>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</si>
  <si>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</si>
  <si>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</si>
  <si>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</si>
  <si>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</si>
  <si>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</si>
  <si>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</si>
  <si>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</si>
  <si>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</si>
  <si>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</si>
  <si>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</si>
  <si>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</si>
  <si>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</si>
  <si>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</si>
  <si>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</si>
  <si>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</si>
  <si>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</si>
  <si>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</si>
  <si>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</si>
  <si>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</si>
  <si>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</si>
  <si>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</si>
  <si>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</si>
  <si>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</si>
  <si>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</si>
  <si>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</si>
  <si>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</si>
  <si>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</si>
  <si>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</si>
  <si>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</si>
  <si>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</si>
  <si>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</si>
  <si>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</si>
  <si>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</si>
  <si>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</si>
  <si>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</si>
  <si>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</si>
  <si>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</si>
  <si>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</si>
  <si>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</si>
  <si>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</si>
  <si>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</si>
  <si>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</si>
  <si>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</si>
  <si>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</si>
  <si>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</si>
  <si>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</si>
  <si>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</si>
  <si>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</si>
  <si>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</si>
  <si>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</si>
  <si>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</si>
  <si>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</si>
  <si>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</si>
  <si>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</si>
  <si>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</si>
  <si>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</si>
  <si>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</si>
  <si>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</si>
  <si>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</si>
  <si>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</si>
  <si>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</si>
  <si>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</si>
  <si>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</si>
  <si>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</si>
  <si>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</si>
  <si>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</si>
  <si>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</si>
  <si>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</si>
  <si>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</si>
  <si>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</si>
  <si>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</si>
  <si>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</si>
  <si>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</si>
  <si>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</si>
  <si>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</si>
  <si>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</si>
  <si>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</si>
  <si>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</si>
  <si>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</si>
  <si>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</si>
  <si>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</si>
  <si>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</si>
  <si>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</si>
  <si>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</si>
  <si>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</si>
  <si>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</si>
  <si>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</si>
  <si>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</si>
  <si>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</si>
  <si>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</si>
  <si>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</si>
  <si>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</si>
  <si>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</si>
  <si>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</si>
  <si>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</si>
  <si>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</si>
  <si>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</si>
  <si>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</si>
  <si>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</si>
  <si>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</si>
  <si>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</si>
  <si>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</si>
  <si>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</si>
  <si>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</si>
  <si>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</si>
  <si>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</si>
  <si>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</si>
  <si>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</si>
  <si>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</si>
  <si>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</si>
  <si>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</si>
  <si>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</si>
  <si>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</si>
  <si>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</si>
  <si>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</si>
  <si>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</si>
  <si>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</si>
  <si>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</si>
  <si>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</si>
  <si>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</si>
  <si>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</si>
  <si>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</si>
  <si>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</si>
  <si>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</si>
  <si>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</si>
  <si>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</si>
  <si>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</si>
  <si>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</si>
  <si>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</si>
  <si>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</si>
  <si>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</si>
  <si>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</si>
  <si>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</si>
  <si>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</si>
  <si>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</si>
  <si>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</si>
  <si>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</si>
  <si>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</si>
  <si>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</si>
  <si>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</si>
  <si>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</si>
  <si>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</si>
  <si>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</si>
  <si>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</si>
  <si>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</si>
  <si>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</si>
  <si>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</si>
  <si>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</si>
  <si>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</si>
  <si>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</si>
  <si>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</si>
  <si>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</si>
  <si>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</si>
  <si>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</si>
  <si>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</si>
  <si>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</si>
  <si>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</si>
  <si>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</si>
  <si>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</si>
  <si>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</si>
  <si>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</si>
  <si>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</si>
  <si>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</si>
  <si>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</si>
  <si>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</si>
  <si>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</si>
  <si>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</si>
  <si>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</si>
  <si>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</si>
  <si>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</si>
  <si>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</si>
  <si>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</si>
  <si>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</si>
  <si>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</si>
  <si>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</si>
  <si>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</si>
  <si>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</si>
  <si>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</si>
  <si>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</si>
  <si>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</si>
  <si>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</si>
  <si>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</si>
  <si>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</si>
  <si>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</si>
  <si>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</si>
  <si>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</si>
  <si>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</si>
  <si>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</si>
  <si>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</si>
  <si>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</si>
  <si>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</si>
  <si>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</si>
  <si>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</si>
  <si>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</si>
  <si>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</si>
  <si>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</si>
  <si>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</si>
  <si>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</si>
  <si>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</si>
  <si>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</si>
  <si>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</si>
  <si>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</si>
  <si>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</si>
  <si>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</si>
  <si>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</si>
  <si>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</si>
  <si>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</si>
  <si>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</si>
  <si>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</si>
  <si>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</si>
  <si>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</si>
  <si>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</si>
  <si>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</si>
  <si>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</si>
  <si>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</si>
  <si>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</si>
  <si>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</si>
  <si>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</si>
  <si>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</si>
  <si>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</si>
  <si>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</si>
  <si>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</si>
  <si>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</si>
  <si>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</si>
  <si>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</si>
  <si>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</si>
  <si>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</si>
  <si>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</si>
  <si>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</si>
  <si>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</si>
  <si>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</si>
  <si>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</si>
  <si>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</si>
  <si>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</si>
  <si>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</si>
  <si>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</si>
  <si>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</si>
  <si>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</si>
  <si>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</si>
  <si>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</si>
  <si>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</si>
  <si>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</si>
  <si>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</si>
  <si>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</si>
  <si>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</si>
  <si>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</si>
  <si>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</si>
  <si>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</si>
  <si>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</si>
  <si>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</si>
  <si>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</si>
  <si>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</si>
  <si>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</si>
  <si>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</si>
  <si>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</si>
  <si>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</si>
  <si>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</si>
  <si>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</si>
  <si>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</si>
  <si>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</si>
  <si>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</si>
  <si>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</si>
  <si>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</si>
  <si>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</si>
  <si>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</si>
  <si>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</si>
  <si>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</si>
  <si>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</si>
  <si>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</si>
  <si>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</si>
  <si>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</si>
  <si>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</si>
  <si>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</si>
  <si>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</si>
  <si>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</si>
  <si>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</si>
  <si>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</si>
  <si>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</si>
  <si>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</si>
  <si>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</si>
  <si>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</si>
  <si>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</si>
  <si>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</si>
  <si>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</si>
  <si>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</si>
  <si>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</si>
  <si>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</si>
  <si>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</si>
  <si>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</si>
  <si>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</si>
  <si>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</si>
  <si>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</si>
  <si>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</si>
  <si>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</si>
  <si>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</si>
  <si>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</si>
  <si>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</si>
  <si>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</si>
  <si>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</si>
  <si>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</si>
  <si>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</si>
  <si>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</si>
  <si>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</si>
  <si>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</si>
  <si>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</si>
  <si>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</si>
  <si>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</si>
  <si>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</si>
  <si>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</si>
  <si>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</si>
  <si>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</si>
  <si>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</si>
  <si>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</si>
  <si>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</si>
  <si>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</si>
  <si>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</si>
  <si>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</si>
  <si>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</si>
  <si>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</si>
  <si>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</si>
  <si>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</si>
  <si>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</si>
  <si>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</si>
  <si>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</si>
  <si>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</si>
  <si>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</si>
  <si>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</si>
  <si>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</si>
  <si>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</si>
  <si>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</si>
  <si>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</si>
  <si>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</si>
  <si>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</si>
  <si>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</si>
  <si>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</si>
  <si>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</si>
  <si>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</si>
  <si>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</si>
  <si>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</si>
  <si>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</si>
  <si>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</si>
  <si>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</si>
  <si>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</si>
  <si>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</si>
  <si>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</si>
  <si>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</si>
  <si>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</si>
  <si>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</si>
  <si>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</si>
  <si>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</si>
  <si>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</si>
  <si>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</si>
  <si>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</si>
  <si>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</si>
  <si>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</si>
  <si>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</si>
  <si>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</si>
  <si>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</si>
  <si>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</si>
  <si>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</si>
  <si>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</si>
  <si>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</si>
  <si>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</si>
  <si>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</si>
  <si>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</si>
  <si>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</si>
  <si>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</si>
  <si>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</si>
  <si>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</si>
  <si>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</si>
  <si>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</si>
  <si>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</si>
  <si>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</si>
  <si>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</si>
  <si>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</si>
  <si>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</si>
  <si>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</si>
  <si>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</si>
  <si>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</si>
  <si>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</si>
  <si>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</si>
  <si>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</si>
  <si>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</si>
  <si>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</si>
  <si>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</si>
  <si>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</si>
  <si>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</si>
  <si>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</si>
  <si>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</si>
  <si>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</si>
  <si>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</si>
  <si>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</si>
  <si>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</si>
  <si>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</si>
  <si>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</si>
  <si>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</si>
  <si>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</si>
  <si>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</si>
  <si>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</si>
  <si>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</si>
  <si>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</si>
  <si>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</si>
  <si>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</si>
  <si>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</si>
  <si>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</si>
  <si>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</si>
  <si>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</si>
  <si>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</si>
  <si>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</si>
  <si>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</si>
  <si>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</si>
  <si>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</si>
  <si>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</si>
  <si>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</si>
  <si>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</si>
  <si>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</si>
  <si>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</si>
  <si>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</si>
  <si>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</si>
  <si>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</si>
  <si>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</si>
  <si>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</si>
  <si>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</si>
  <si>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</si>
  <si>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</si>
  <si>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</si>
  <si>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</si>
  <si>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</si>
  <si>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</si>
  <si>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</si>
  <si>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</si>
  <si>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</si>
  <si>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</si>
  <si>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</si>
  <si>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</si>
  <si>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</si>
  <si>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</si>
  <si>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</si>
  <si>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</si>
  <si>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</si>
  <si>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</si>
  <si>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</si>
  <si>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</si>
  <si>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</si>
  <si>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</si>
  <si>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</si>
  <si>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</si>
  <si>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</si>
  <si>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</si>
  <si>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</si>
  <si>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</si>
  <si>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</si>
  <si>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</si>
  <si>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</si>
  <si>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</si>
  <si>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</si>
  <si>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</si>
  <si>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</si>
  <si>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</si>
  <si>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</si>
  <si>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</si>
  <si>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</si>
  <si>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</si>
  <si>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</si>
  <si>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</si>
  <si>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</si>
  <si>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</si>
  <si>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</si>
  <si>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</si>
  <si>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</si>
  <si>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</si>
  <si>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</si>
  <si>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</si>
  <si>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</si>
  <si>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</si>
  <si>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</si>
  <si>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</si>
  <si>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</si>
  <si>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</si>
  <si>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</si>
  <si>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</si>
  <si>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</si>
  <si>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</si>
  <si>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</si>
  <si>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</si>
  <si>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</si>
  <si>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</si>
  <si>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</si>
  <si>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</si>
  <si>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</si>
  <si>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</si>
  <si>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</si>
  <si>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</si>
  <si>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</si>
  <si>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</si>
  <si>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</si>
  <si>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</si>
  <si>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</si>
  <si>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</si>
  <si>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</si>
  <si>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</si>
  <si>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</si>
  <si>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</si>
  <si>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</si>
  <si>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</si>
  <si>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</si>
  <si>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</si>
  <si>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</si>
  <si>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</si>
  <si>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</si>
  <si>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</si>
  <si>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</si>
  <si>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</si>
  <si>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</si>
  <si>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</si>
  <si>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</si>
  <si>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</si>
  <si>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</si>
  <si>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</si>
  <si>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</si>
  <si>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</si>
  <si>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</si>
  <si>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</si>
  <si>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</si>
  <si>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</si>
  <si>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</si>
  <si>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</si>
  <si>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</si>
  <si>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</si>
  <si>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</si>
  <si>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</si>
  <si>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</si>
  <si>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</si>
  <si>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</si>
  <si>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</si>
  <si>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</si>
  <si>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</si>
  <si>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</si>
  <si>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</si>
  <si>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</si>
  <si>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</si>
  <si>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</si>
  <si>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</si>
  <si>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</si>
  <si>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</si>
  <si>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</si>
  <si>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</si>
  <si>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</si>
  <si>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</si>
  <si>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</si>
  <si>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</si>
  <si>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</si>
  <si>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</si>
  <si>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</si>
  <si>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</si>
  <si>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</si>
  <si>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</si>
  <si>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</si>
  <si>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</si>
  <si>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</si>
  <si>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</si>
  <si>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</si>
  <si>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</si>
  <si>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</si>
  <si>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</si>
  <si>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</si>
  <si>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</si>
  <si>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</si>
  <si>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</si>
  <si>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</si>
  <si>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</si>
  <si>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</si>
  <si>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</si>
  <si>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</si>
  <si>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</si>
  <si>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</si>
  <si>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</si>
  <si>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</si>
  <si>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</si>
  <si>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</si>
  <si>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</si>
  <si>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</si>
  <si>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</si>
  <si>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</si>
  <si>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</si>
  <si>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</si>
  <si>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</si>
  <si>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</si>
  <si>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</si>
  <si>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</si>
  <si>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</si>
  <si>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</si>
  <si>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</si>
  <si>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</si>
  <si>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</si>
  <si>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</si>
  <si>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</si>
  <si>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</si>
  <si>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</si>
  <si>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</si>
  <si>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</si>
  <si>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</si>
  <si>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</si>
  <si>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</si>
  <si>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</si>
  <si>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</si>
  <si>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</si>
  <si>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</si>
  <si>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</si>
  <si>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</si>
  <si>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</si>
  <si>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</si>
  <si>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</si>
  <si>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</si>
  <si>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</si>
  <si>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</si>
  <si>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</si>
  <si>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</si>
  <si>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</si>
  <si>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</si>
  <si>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</si>
  <si>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</si>
  <si>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</si>
  <si>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</si>
  <si>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</si>
  <si>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</si>
  <si>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</si>
  <si>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</si>
  <si>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</si>
  <si>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</si>
  <si>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</si>
  <si>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</si>
  <si>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</si>
  <si>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</si>
  <si>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</si>
  <si>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</si>
  <si>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</si>
  <si>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</si>
  <si>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</si>
  <si>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</si>
  <si>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</si>
  <si>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</si>
  <si>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</si>
  <si>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</si>
  <si>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</si>
  <si>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</si>
  <si>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</si>
  <si>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</si>
  <si>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</si>
  <si>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</si>
  <si>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</si>
  <si>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</si>
  <si>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</si>
  <si>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</si>
  <si>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</si>
  <si>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</si>
  <si>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</si>
  <si>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</si>
  <si>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</si>
  <si>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</si>
  <si>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</si>
  <si>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</si>
  <si>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</si>
  <si>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</si>
  <si>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</si>
  <si>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</si>
  <si>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</si>
  <si>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</si>
  <si>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</si>
  <si>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</si>
  <si>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</si>
  <si>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</si>
  <si>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</si>
  <si>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</si>
  <si>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</si>
  <si>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</si>
  <si>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</si>
  <si>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</si>
  <si>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</si>
  <si>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</si>
  <si>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</si>
  <si>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</si>
  <si>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</si>
  <si>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</si>
  <si>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</si>
  <si>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</si>
  <si>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</si>
  <si>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</si>
  <si>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</si>
  <si>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</si>
  <si>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</si>
  <si>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</si>
  <si>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</si>
  <si>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</si>
  <si>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</si>
  <si>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</si>
  <si>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</si>
  <si>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</si>
  <si>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</si>
  <si>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</si>
  <si>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</si>
  <si>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</si>
  <si>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</si>
  <si>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</si>
  <si>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</si>
  <si>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</si>
  <si>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</si>
  <si>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</si>
  <si>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</si>
  <si>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</si>
  <si>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</si>
  <si>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</si>
  <si>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</si>
  <si>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</si>
  <si>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</si>
  <si>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</si>
  <si>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</si>
  <si>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</si>
  <si>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</si>
  <si>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</si>
  <si>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</si>
  <si>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</si>
  <si>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</si>
  <si>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</si>
  <si>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</si>
  <si>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</si>
  <si>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</si>
  <si>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</si>
  <si>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</si>
  <si>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</si>
  <si>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</si>
  <si>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</si>
  <si>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</si>
  <si>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</si>
  <si>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</si>
  <si>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</si>
  <si>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</si>
  <si>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</si>
  <si>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</si>
  <si>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</si>
  <si>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</si>
  <si>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</si>
  <si>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</si>
  <si>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</si>
  <si>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</si>
  <si>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</si>
  <si>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</si>
  <si>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</si>
  <si>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</si>
  <si>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</si>
  <si>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</si>
  <si>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</si>
  <si>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</si>
  <si>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</si>
  <si>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</si>
  <si>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</si>
  <si>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</si>
  <si>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</si>
  <si>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</si>
  <si>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</si>
  <si>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</si>
  <si>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</si>
  <si>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</si>
  <si>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</si>
  <si>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</si>
  <si>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</si>
  <si>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</si>
  <si>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</si>
  <si>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</si>
  <si>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</si>
  <si>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</si>
  <si>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</si>
  <si>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</si>
  <si>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</si>
  <si>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</si>
  <si>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</si>
  <si>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</si>
  <si>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</si>
  <si>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</si>
  <si>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</si>
  <si>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</si>
  <si>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</si>
  <si>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</si>
  <si>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</si>
  <si>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</si>
  <si>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</si>
  <si>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</si>
  <si>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</si>
  <si>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</si>
  <si>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</si>
  <si>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</si>
  <si>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</si>
  <si>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</si>
  <si>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</si>
  <si>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</si>
  <si>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</si>
  <si>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</si>
  <si>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</si>
  <si>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</si>
  <si>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</si>
  <si>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</si>
  <si>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</si>
  <si>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</si>
  <si>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</si>
  <si>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</si>
  <si>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</si>
  <si>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</si>
  <si>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</si>
  <si>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</si>
  <si>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</si>
  <si>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</si>
  <si>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</si>
  <si>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</si>
  <si>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</si>
  <si>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</si>
  <si>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</si>
  <si>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</si>
  <si>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</si>
  <si>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</si>
  <si>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</si>
  <si>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</si>
  <si>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</si>
  <si>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</si>
  <si>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</si>
  <si>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</si>
  <si>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</si>
  <si>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</si>
  <si>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</si>
  <si>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</si>
  <si>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</si>
  <si>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</si>
  <si>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</si>
  <si>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</si>
  <si>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</si>
  <si>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</si>
  <si>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</si>
  <si>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</si>
  <si>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</si>
  <si>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</si>
  <si>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</si>
  <si>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</si>
  <si>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</si>
  <si>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</si>
  <si>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</si>
  <si>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</si>
  <si>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</si>
  <si>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</si>
  <si>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</si>
  <si>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</si>
  <si>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</si>
  <si>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</si>
  <si>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</si>
  <si>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</si>
  <si>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</si>
  <si>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</si>
  <si>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</si>
  <si>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</si>
  <si>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</si>
  <si>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</si>
  <si>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</si>
  <si>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</si>
  <si>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</si>
  <si>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</si>
  <si>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</si>
  <si>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</si>
  <si>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</si>
  <si>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</si>
  <si>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</si>
  <si>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</si>
  <si>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</si>
  <si>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</si>
  <si>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</si>
  <si>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</si>
  <si>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</si>
  <si>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</si>
  <si>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</si>
  <si>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</si>
  <si>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</si>
  <si>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</si>
  <si>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</si>
  <si>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</si>
  <si>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</si>
  <si>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</si>
  <si>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</si>
  <si>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</si>
  <si>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</si>
  <si>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</si>
  <si>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</si>
  <si>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</si>
  <si>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</si>
  <si>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</si>
  <si>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</si>
  <si>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</si>
  <si>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</si>
  <si>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</si>
  <si>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</si>
  <si>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</si>
  <si>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</si>
  <si>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</si>
  <si>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</si>
  <si>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</si>
  <si>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</si>
  <si>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</si>
  <si>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</si>
  <si>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</si>
  <si>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</si>
  <si>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</si>
  <si>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</si>
  <si>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</si>
  <si>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</si>
  <si>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</si>
  <si>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</si>
  <si>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</si>
  <si>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</si>
  <si>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</si>
  <si>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</si>
  <si>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</si>
  <si>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</si>
  <si>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</si>
  <si>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</si>
  <si>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</si>
  <si>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</si>
  <si>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</si>
  <si>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</si>
  <si>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</si>
  <si>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</si>
  <si>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</si>
  <si>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</si>
  <si>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</si>
  <si>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</si>
  <si>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</si>
  <si>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</si>
  <si>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</si>
  <si>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</si>
  <si>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</si>
  <si>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</si>
  <si>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</si>
  <si>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</si>
  <si>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</si>
  <si>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</si>
  <si>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</si>
  <si>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</si>
  <si>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</si>
  <si>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</si>
  <si>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</si>
  <si>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</si>
  <si>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</si>
  <si>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</si>
  <si>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</si>
  <si>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</si>
  <si>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</si>
  <si>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</si>
  <si>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</si>
  <si>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</si>
  <si>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</si>
  <si>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</si>
  <si>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</si>
  <si>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</si>
  <si>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</si>
  <si>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</si>
  <si>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</si>
  <si>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</si>
  <si>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</si>
  <si>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</si>
  <si>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</si>
  <si>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</si>
  <si>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</si>
  <si>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</si>
  <si>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</si>
  <si>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</si>
  <si>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</si>
  <si>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</si>
  <si>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</si>
  <si>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</si>
  <si>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</si>
  <si>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</si>
  <si>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</si>
  <si>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</si>
  <si>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</si>
  <si>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</si>
  <si>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</si>
  <si>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</si>
  <si>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</si>
  <si>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</si>
  <si>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</si>
  <si>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</si>
  <si>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</si>
  <si>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</si>
  <si>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</si>
  <si>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</si>
  <si>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</si>
  <si>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</si>
  <si>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</si>
  <si>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</si>
  <si>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</si>
  <si>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</si>
  <si>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</si>
  <si>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</si>
  <si>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</si>
  <si>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</si>
  <si>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</si>
  <si>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</si>
  <si>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</si>
  <si>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</si>
  <si>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</si>
  <si>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</si>
  <si>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</si>
  <si>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</si>
  <si>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</si>
  <si>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</si>
  <si>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</si>
  <si>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</si>
  <si>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</si>
  <si>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</si>
  <si>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</si>
  <si>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</si>
  <si>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</si>
  <si>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</si>
  <si>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</si>
  <si>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</si>
  <si>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</si>
  <si>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</si>
  <si>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</si>
  <si>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</si>
  <si>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</si>
  <si>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</si>
  <si>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</si>
  <si>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</si>
  <si>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</si>
  <si>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</si>
  <si>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</si>
  <si>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</si>
  <si>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</si>
  <si>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</si>
  <si>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</si>
  <si>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</si>
  <si>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</si>
  <si>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</si>
  <si>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</si>
  <si>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</si>
  <si>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</si>
  <si>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</si>
  <si>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</si>
  <si>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</si>
  <si>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</si>
  <si>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</si>
  <si>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</si>
  <si>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</si>
  <si>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</si>
  <si>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</si>
  <si>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</si>
  <si>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</si>
  <si>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</si>
  <si>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</si>
  <si>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</si>
  <si>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</si>
  <si>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</si>
  <si>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</si>
  <si>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</si>
  <si>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</si>
  <si>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</si>
  <si>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</si>
  <si>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</si>
  <si>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</si>
  <si>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</si>
  <si>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</si>
  <si>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</si>
  <si>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</si>
  <si>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</si>
  <si>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</si>
  <si>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</si>
  <si>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</si>
  <si>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</si>
  <si>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</si>
  <si>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</si>
  <si>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</si>
  <si>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</si>
  <si>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</si>
  <si>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</si>
  <si>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</si>
  <si>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</si>
  <si>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</si>
  <si>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</si>
  <si>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</si>
  <si>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</si>
  <si>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</si>
  <si>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</si>
  <si>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</si>
  <si>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</si>
  <si>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</si>
  <si>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</si>
  <si>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</si>
  <si>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</si>
  <si>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</si>
  <si>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</si>
  <si>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</si>
  <si>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</si>
  <si>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</si>
  <si>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</si>
  <si>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</si>
  <si>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</si>
  <si>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</si>
  <si>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</si>
  <si>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</si>
  <si>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</si>
  <si>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</si>
  <si>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</si>
  <si>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</si>
  <si>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</si>
  <si>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</si>
  <si>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</si>
  <si>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</si>
  <si>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</si>
  <si>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</si>
  <si>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</si>
  <si>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</si>
  <si>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</si>
  <si>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</si>
  <si>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</si>
  <si>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</si>
  <si>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</si>
  <si>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</si>
  <si>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</si>
  <si>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</si>
  <si>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</si>
  <si>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</si>
  <si>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</si>
  <si>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</si>
  <si>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</si>
  <si>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</si>
  <si>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</si>
  <si>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</si>
  <si>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</si>
  <si>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</si>
  <si>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</si>
  <si>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</si>
  <si>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</si>
  <si>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</si>
  <si>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</si>
  <si>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</si>
  <si>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</si>
  <si>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</si>
  <si>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</si>
  <si>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</si>
  <si>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</si>
  <si>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</si>
  <si>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</si>
  <si>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</si>
  <si>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</si>
  <si>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</si>
  <si>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</si>
  <si>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</si>
  <si>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</si>
  <si>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</si>
  <si>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</si>
  <si>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</si>
  <si>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</si>
  <si>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</si>
  <si>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</si>
  <si>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</si>
  <si>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</si>
  <si>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</si>
  <si>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</si>
  <si>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</si>
  <si>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</si>
  <si>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</si>
  <si>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</si>
  <si>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</si>
  <si>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</si>
  <si>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</si>
  <si>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</si>
  <si>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</si>
  <si>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</si>
  <si>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</si>
  <si>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</si>
  <si>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</si>
  <si>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</si>
  <si>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</si>
  <si>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</si>
  <si>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</si>
  <si>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</si>
  <si>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</si>
  <si>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</si>
  <si>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</si>
  <si>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</si>
  <si>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</si>
  <si>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</si>
  <si>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</si>
  <si>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</si>
  <si>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</si>
  <si>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</si>
  <si>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</si>
  <si>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</si>
  <si>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</si>
  <si>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</si>
  <si>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</si>
  <si>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</si>
  <si>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</si>
  <si>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</si>
  <si>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</si>
  <si>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</si>
  <si>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</si>
  <si>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</si>
  <si>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</si>
  <si>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</si>
  <si>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</si>
  <si>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</si>
  <si>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</si>
  <si>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</si>
  <si>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</si>
  <si>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</si>
  <si>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</si>
  <si>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</si>
  <si>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</si>
  <si>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</si>
  <si>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</si>
  <si>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</si>
  <si>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</si>
  <si>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</si>
  <si>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</si>
  <si>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</si>
  <si>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</si>
  <si>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</si>
  <si>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</si>
  <si>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</si>
  <si>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</si>
  <si>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</si>
  <si>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</si>
  <si>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</si>
  <si>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</si>
  <si>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</si>
  <si>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</si>
  <si>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</si>
  <si>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</si>
  <si>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</si>
  <si>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</si>
  <si>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</si>
  <si>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</si>
  <si>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</si>
  <si>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</si>
  <si>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</si>
  <si>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</si>
  <si>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</si>
  <si>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</si>
  <si>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</si>
  <si>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</si>
  <si>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</si>
  <si>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</si>
  <si>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</si>
  <si>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</si>
  <si>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</si>
  <si>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</si>
  <si>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</si>
  <si>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</si>
  <si>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</si>
  <si>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</si>
  <si>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</si>
  <si>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</si>
  <si>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</si>
  <si>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</si>
  <si>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</si>
  <si>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</si>
  <si>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</si>
  <si>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</si>
  <si>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</si>
  <si>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</si>
  <si>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</si>
  <si>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</si>
  <si>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</si>
  <si>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</si>
  <si>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</si>
  <si>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</si>
  <si>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</si>
  <si>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</si>
  <si>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</si>
  <si>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</si>
  <si>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</si>
  <si>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</si>
  <si>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</si>
  <si>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</si>
  <si>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</si>
  <si>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</si>
  <si>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</si>
  <si>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</si>
  <si>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</si>
  <si>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</si>
  <si>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</si>
  <si>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</si>
  <si>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</si>
  <si>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</si>
  <si>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</si>
  <si>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</si>
  <si>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</si>
  <si>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</si>
  <si>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</si>
  <si>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</si>
  <si>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</si>
  <si>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</si>
  <si>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</si>
  <si>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</si>
  <si>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</si>
  <si>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</si>
  <si>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</si>
  <si>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</si>
  <si>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</si>
  <si>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</si>
  <si>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</si>
  <si>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</si>
  <si>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</si>
  <si>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</si>
  <si>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</si>
  <si>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</si>
  <si>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</si>
  <si>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</si>
  <si>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</si>
  <si>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</si>
  <si>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</si>
  <si>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</si>
  <si>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</si>
  <si>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</si>
  <si>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</si>
  <si>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</si>
  <si>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</si>
  <si>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</si>
  <si>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</si>
  <si>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</si>
  <si>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</si>
  <si>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</si>
  <si>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</si>
  <si>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</si>
  <si>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</si>
  <si>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</si>
  <si>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</si>
  <si>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</si>
  <si>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</si>
  <si>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</si>
  <si>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</si>
  <si>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</si>
  <si>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</si>
  <si>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</si>
  <si>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</si>
  <si>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</si>
  <si>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</si>
  <si>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</si>
  <si>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</si>
  <si>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</si>
  <si>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</si>
  <si>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</si>
  <si>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</si>
  <si>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</si>
  <si>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</si>
  <si>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</si>
  <si>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</si>
  <si>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</si>
  <si>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</si>
  <si>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</si>
  <si>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</si>
  <si>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</si>
  <si>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</si>
  <si>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</si>
  <si>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</si>
  <si>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</si>
  <si>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</si>
  <si>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</si>
  <si>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</si>
  <si>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</si>
  <si>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</si>
  <si>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</si>
  <si>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</si>
  <si>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</si>
  <si>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</si>
  <si>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</si>
  <si>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</si>
  <si>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</si>
  <si>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</si>
  <si>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</si>
  <si>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</si>
  <si>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</si>
  <si>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</si>
  <si>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</si>
  <si>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</si>
  <si>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</si>
  <si>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</si>
  <si>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</si>
  <si>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</si>
  <si>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</si>
  <si>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</si>
  <si>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</si>
  <si>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</si>
  <si>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</si>
  <si>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</si>
  <si>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</si>
  <si>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</si>
  <si>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</si>
  <si>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</si>
  <si>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</si>
  <si>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</si>
  <si>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</si>
  <si>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</si>
  <si>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</si>
  <si>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</si>
  <si>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</si>
  <si>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</si>
  <si>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</si>
  <si>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</si>
  <si>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</si>
  <si>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</si>
  <si>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</si>
  <si>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</si>
  <si>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</si>
  <si>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</si>
  <si>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</si>
  <si>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</si>
  <si>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</si>
  <si>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</si>
  <si>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</si>
  <si>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</si>
  <si>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</si>
  <si>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</si>
  <si>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</si>
  <si>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</si>
  <si>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</si>
  <si>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</si>
  <si>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</si>
  <si>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</si>
  <si>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</si>
  <si>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</si>
  <si>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</si>
  <si>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</si>
  <si>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</si>
  <si>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</si>
  <si>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</si>
  <si>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</si>
  <si>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</si>
  <si>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</si>
  <si>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</si>
  <si>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</si>
  <si>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</si>
  <si>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</si>
  <si>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</si>
  <si>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</si>
  <si>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</si>
  <si>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</si>
  <si>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</si>
  <si>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</si>
  <si>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</si>
  <si>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</si>
  <si>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</si>
  <si>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</si>
  <si>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</si>
  <si>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</si>
  <si>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</si>
  <si>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</si>
  <si>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</si>
  <si>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</si>
  <si>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</si>
  <si>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</si>
  <si>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</si>
  <si>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</si>
  <si>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</si>
  <si>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</si>
  <si>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</si>
  <si>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</si>
  <si>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</si>
  <si>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</si>
  <si>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</si>
  <si>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</si>
  <si>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</si>
  <si>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</si>
  <si>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</si>
  <si>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</si>
  <si>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</si>
  <si>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</si>
  <si>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</si>
  <si>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</si>
  <si>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</si>
  <si>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</si>
  <si>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</si>
  <si>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</si>
  <si>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</si>
  <si>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</si>
  <si>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</si>
  <si>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</si>
  <si>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</si>
  <si>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</si>
  <si>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</si>
  <si>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</si>
  <si>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</si>
  <si>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</si>
  <si>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</si>
  <si>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</si>
  <si>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</si>
  <si>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</si>
  <si>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</si>
  <si>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</si>
  <si>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</si>
  <si>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</si>
  <si>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</si>
  <si>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</si>
  <si>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</si>
  <si>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</si>
  <si>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</si>
  <si>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</si>
  <si>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</si>
  <si>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</si>
  <si>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</si>
  <si>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</si>
  <si>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</si>
  <si>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</si>
  <si>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</si>
  <si>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</si>
  <si>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</si>
  <si>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</si>
  <si>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</si>
  <si>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</si>
  <si>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</si>
  <si>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</si>
  <si>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</si>
  <si>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</si>
  <si>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</si>
  <si>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</si>
  <si>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</si>
  <si>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</si>
  <si>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</si>
  <si>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</si>
  <si>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</si>
  <si>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</si>
  <si>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</si>
  <si>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</si>
  <si>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</si>
  <si>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</si>
  <si>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</si>
  <si>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</si>
  <si>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</si>
  <si>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</si>
  <si>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</si>
  <si>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</si>
  <si>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</si>
  <si>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</si>
  <si>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</si>
  <si>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</si>
  <si>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</si>
  <si>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</si>
  <si>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</si>
  <si>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</si>
  <si>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</si>
  <si>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</si>
  <si>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</si>
  <si>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</si>
  <si>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</si>
  <si>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</si>
  <si>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</si>
  <si>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</si>
  <si>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</si>
  <si>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</si>
  <si>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</si>
  <si>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</si>
  <si>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</si>
  <si>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</si>
  <si>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</si>
  <si>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</si>
  <si>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</si>
  <si>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</si>
  <si>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</si>
  <si>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</si>
  <si>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</si>
  <si>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</si>
  <si>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</si>
  <si>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</si>
  <si>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</si>
  <si>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</si>
  <si>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</si>
  <si>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</si>
  <si>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</si>
  <si>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</si>
  <si>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</si>
  <si>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</si>
  <si>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</si>
  <si>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</si>
  <si>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</si>
  <si>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</si>
  <si>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</si>
  <si>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</si>
  <si>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</si>
  <si>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</si>
  <si>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</si>
  <si>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</si>
  <si>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</si>
  <si>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</si>
  <si>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</si>
  <si>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</si>
  <si>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</si>
  <si>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</si>
  <si>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</si>
  <si>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</si>
  <si>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</si>
  <si>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</si>
  <si>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</si>
  <si>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</si>
  <si>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</si>
  <si>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</si>
  <si>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</si>
  <si>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</si>
  <si>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</si>
  <si>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</si>
  <si>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</si>
  <si>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</si>
  <si>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</si>
  <si>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</si>
  <si>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</si>
  <si>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</si>
  <si>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</si>
  <si>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</si>
  <si>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</si>
  <si>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</si>
  <si>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</si>
  <si>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</si>
  <si>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</si>
  <si>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</si>
  <si>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</si>
  <si>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</si>
  <si>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</si>
  <si>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</si>
  <si>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</si>
  <si>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</si>
  <si>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</si>
  <si>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</si>
  <si>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</si>
  <si>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</si>
  <si>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</si>
  <si>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</si>
  <si>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</si>
  <si>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</si>
  <si>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</si>
  <si>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</si>
  <si>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</si>
  <si>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</si>
  <si>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</si>
  <si>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</si>
  <si>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</si>
  <si>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</si>
  <si>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</si>
  <si>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</si>
  <si>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</si>
  <si>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</si>
  <si>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</si>
  <si>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</si>
  <si>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</si>
  <si>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</si>
  <si>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</si>
  <si>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</si>
  <si>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</si>
  <si>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</si>
  <si>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</si>
  <si>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</si>
  <si>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</si>
  <si>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</si>
  <si>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</si>
  <si>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</si>
  <si>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</si>
  <si>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</si>
  <si>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</si>
  <si>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</si>
  <si>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</si>
  <si>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</si>
  <si>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</si>
  <si>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</si>
  <si>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</si>
  <si>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</si>
  <si>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</si>
  <si>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</si>
  <si>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</si>
  <si>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</si>
  <si>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</si>
  <si>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</si>
  <si>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</si>
  <si>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</si>
  <si>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</si>
  <si>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</si>
  <si>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</si>
  <si>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</si>
  <si>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</si>
  <si>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</si>
  <si>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</si>
  <si>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</si>
  <si>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</si>
  <si>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</si>
  <si>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</si>
  <si>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</si>
  <si>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</si>
  <si>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</si>
  <si>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</si>
  <si>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</si>
  <si>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</si>
  <si>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</si>
  <si>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</si>
  <si>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</si>
  <si>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</si>
  <si>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</si>
  <si>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</si>
  <si>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</si>
  <si>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</si>
  <si>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</si>
  <si>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</si>
  <si>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</si>
  <si>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</si>
  <si>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</si>
  <si>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</si>
  <si>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</si>
  <si>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</si>
  <si>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</si>
  <si>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</si>
  <si>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</si>
  <si>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</si>
  <si>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</si>
  <si>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</si>
  <si>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</si>
  <si>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</si>
  <si>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</si>
  <si>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</si>
  <si>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</si>
  <si>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</si>
  <si>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</si>
  <si>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</si>
  <si>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</si>
  <si>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</si>
  <si>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</si>
  <si>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</si>
  <si>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</si>
  <si>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</si>
  <si>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</si>
  <si>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</si>
  <si>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</si>
  <si>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</si>
  <si>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</si>
  <si>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</si>
  <si>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</si>
  <si>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</si>
  <si>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</si>
  <si>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</si>
  <si>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</si>
  <si>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</si>
  <si>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</si>
  <si>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</si>
  <si>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</si>
  <si>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</si>
  <si>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</si>
  <si>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</si>
  <si>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</si>
  <si>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</si>
  <si>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</si>
  <si>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</si>
  <si>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</si>
  <si>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</si>
  <si>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</si>
  <si>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</si>
  <si>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</si>
  <si>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</si>
  <si>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</si>
  <si>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</si>
  <si>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</si>
  <si>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</si>
  <si>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</si>
  <si>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</si>
  <si>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</si>
  <si>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</si>
  <si>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</si>
  <si>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</si>
  <si>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</si>
  <si>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</si>
  <si>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</si>
  <si>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</si>
  <si>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</si>
  <si>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</si>
  <si>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</si>
  <si>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</si>
  <si>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</si>
  <si>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</si>
  <si>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</si>
  <si>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</si>
  <si>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</si>
  <si>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</si>
  <si>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</si>
  <si>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</si>
  <si>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</si>
  <si>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</si>
  <si>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</si>
  <si>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</si>
  <si>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</si>
  <si>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</si>
  <si>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</si>
  <si>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</si>
  <si>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</si>
  <si>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</si>
  <si>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</si>
  <si>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</si>
  <si>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</si>
  <si>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</si>
  <si>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</si>
  <si>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</si>
  <si>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</si>
  <si>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</si>
  <si>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</si>
  <si>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</si>
  <si>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</si>
  <si>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</si>
  <si>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</si>
  <si>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</si>
  <si>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</si>
  <si>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</si>
  <si>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</si>
  <si>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</si>
  <si>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</si>
  <si>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</si>
  <si>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</si>
  <si>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</si>
  <si>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</si>
  <si>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</si>
  <si>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</si>
  <si>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</si>
  <si>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</si>
  <si>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</si>
  <si>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</si>
  <si>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</si>
  <si>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</si>
  <si>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</si>
  <si>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</si>
  <si>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</si>
  <si>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</si>
  <si>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</si>
  <si>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</si>
  <si>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</si>
  <si>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</si>
  <si>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</si>
  <si>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</si>
  <si>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</si>
  <si>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</si>
  <si>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</si>
  <si>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</si>
  <si>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</si>
  <si>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</si>
  <si>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</si>
  <si>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</si>
  <si>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</si>
  <si>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</si>
  <si>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</si>
  <si>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</si>
  <si>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</si>
  <si>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</si>
  <si>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</si>
  <si>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</si>
  <si>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</si>
  <si>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</si>
  <si>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</si>
  <si>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</si>
  <si>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</si>
  <si>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</si>
  <si>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</si>
  <si>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</si>
  <si>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</si>
  <si>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</si>
  <si>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</si>
  <si>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</si>
  <si>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</si>
  <si>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</si>
  <si>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</si>
  <si>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</si>
  <si>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</si>
  <si>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</si>
  <si>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</si>
  <si>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</si>
  <si>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</si>
  <si>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</si>
  <si>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</si>
  <si>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</si>
  <si>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</si>
  <si>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</si>
  <si>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</si>
  <si>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</si>
  <si>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</si>
  <si>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</si>
  <si>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</si>
  <si>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</si>
  <si>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</si>
  <si>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</si>
  <si>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</si>
  <si>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</si>
  <si>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</si>
  <si>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</si>
  <si>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</si>
  <si>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</si>
  <si>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</si>
  <si>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</si>
  <si>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</si>
  <si>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</si>
  <si>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</si>
  <si>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</si>
  <si>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</si>
  <si>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</si>
  <si>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</si>
  <si>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</si>
  <si>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</si>
  <si>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</si>
  <si>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</si>
  <si>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</si>
  <si>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</si>
  <si>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</si>
  <si>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</si>
  <si>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</si>
  <si>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</si>
  <si>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</si>
  <si>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</si>
  <si>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</si>
  <si>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</si>
  <si>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</si>
  <si>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</si>
  <si>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</si>
  <si>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</si>
  <si>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</si>
  <si>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</si>
  <si>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</si>
  <si>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</si>
  <si>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</si>
  <si>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</si>
  <si>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</si>
  <si>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</si>
  <si>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</si>
  <si>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</si>
  <si>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</si>
  <si>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</si>
  <si>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</si>
  <si>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</si>
  <si>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</si>
  <si>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</si>
  <si>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</si>
  <si>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</si>
  <si>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</si>
  <si>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</si>
  <si>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</si>
  <si>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</si>
  <si>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</si>
  <si>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</si>
  <si>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</si>
  <si>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</si>
  <si>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</si>
  <si>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</si>
  <si>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</si>
  <si>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</si>
  <si>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</si>
  <si>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</si>
  <si>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</si>
  <si>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</si>
  <si>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</si>
  <si>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</si>
  <si>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</si>
  <si>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</si>
  <si>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</si>
  <si>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</si>
  <si>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</si>
  <si>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</si>
  <si>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</si>
  <si>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</si>
  <si>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</si>
  <si>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</si>
  <si>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</si>
  <si>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</si>
  <si>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</si>
  <si>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</si>
  <si>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</si>
  <si>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</si>
  <si>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</si>
  <si>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</si>
  <si>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</si>
  <si>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</si>
  <si>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</si>
  <si>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</si>
  <si>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</si>
  <si>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</si>
  <si>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</si>
  <si>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</si>
  <si>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</si>
  <si>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</si>
  <si>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</si>
  <si>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</si>
  <si>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</si>
  <si>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</si>
  <si>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</si>
  <si>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</si>
  <si>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</si>
  <si>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</si>
  <si>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</si>
  <si>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</si>
  <si>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</si>
  <si>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</si>
  <si>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</si>
  <si>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</si>
  <si>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</si>
  <si>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</si>
  <si>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</si>
  <si>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</si>
  <si>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</si>
  <si>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</si>
  <si>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</si>
  <si>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</si>
  <si>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</si>
  <si>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</si>
  <si>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</si>
  <si>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</si>
  <si>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</si>
  <si>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</si>
  <si>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</si>
  <si>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</si>
  <si>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</si>
  <si>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</si>
  <si>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</si>
  <si>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</si>
  <si>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</si>
  <si>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</si>
  <si>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</si>
  <si>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</si>
  <si>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</si>
  <si>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</si>
  <si>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</si>
  <si>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</si>
  <si>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</si>
  <si>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</si>
  <si>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</si>
  <si>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</si>
  <si>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</si>
  <si>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</si>
  <si>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</si>
  <si>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</si>
  <si>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</si>
  <si>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</si>
  <si>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</si>
  <si>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</si>
  <si>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</si>
  <si>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</si>
  <si>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</si>
  <si>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</si>
  <si>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</si>
  <si>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</si>
  <si>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</si>
  <si>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</si>
  <si>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</si>
  <si>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</si>
  <si>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</si>
  <si>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</si>
  <si>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</si>
  <si>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</si>
  <si>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</si>
  <si>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</si>
  <si>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</si>
  <si>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</si>
  <si>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</si>
  <si>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</si>
  <si>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</si>
  <si>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</si>
  <si>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</si>
  <si>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</si>
  <si>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</si>
  <si>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</si>
  <si>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</si>
  <si>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</si>
  <si>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</si>
  <si>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</si>
  <si>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</si>
  <si>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</si>
  <si>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</si>
  <si>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</si>
  <si>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</si>
  <si>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</si>
  <si>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</si>
  <si>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</si>
  <si>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</si>
  <si>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</si>
  <si>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</si>
  <si>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</si>
  <si>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</si>
  <si>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</si>
  <si>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</si>
  <si>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</si>
  <si>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</si>
  <si>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</si>
  <si>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</si>
  <si>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</si>
  <si>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</si>
  <si>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</si>
  <si>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</si>
  <si>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</si>
  <si>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</si>
  <si>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</si>
  <si>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</si>
  <si>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</si>
  <si>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</si>
  <si>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</si>
  <si>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</si>
  <si>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</si>
  <si>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</si>
  <si>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</si>
  <si>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</si>
  <si>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</si>
  <si>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</si>
  <si>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</si>
  <si>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</si>
  <si>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</si>
  <si>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</si>
  <si>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</si>
  <si>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</si>
  <si>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</si>
  <si>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</si>
  <si>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</si>
  <si>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</si>
  <si>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</si>
  <si>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</si>
  <si>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</si>
  <si>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</si>
  <si>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</si>
  <si>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</si>
  <si>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</si>
  <si>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</si>
  <si>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</si>
  <si>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</si>
  <si>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</si>
  <si>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</si>
  <si>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</si>
  <si>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</si>
  <si>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</si>
  <si>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</si>
  <si>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</si>
  <si>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</si>
  <si>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</si>
  <si>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</si>
  <si>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</si>
  <si>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</si>
  <si>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</si>
  <si>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</si>
  <si>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</si>
  <si>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</si>
  <si>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</si>
  <si>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</si>
  <si>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</si>
  <si>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</si>
  <si>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</si>
  <si>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</si>
  <si>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</si>
  <si>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</si>
  <si>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</si>
  <si>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</si>
  <si>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</si>
  <si>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</si>
  <si>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</si>
  <si>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</si>
  <si>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</si>
  <si>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</si>
  <si>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</si>
  <si>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</si>
  <si>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</si>
  <si>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</si>
  <si>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</si>
  <si>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</si>
  <si>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</si>
  <si>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</si>
  <si>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</si>
  <si>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</si>
  <si>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</si>
  <si>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</si>
  <si>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</si>
  <si>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</si>
  <si>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</si>
  <si>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</si>
  <si>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</si>
  <si>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</si>
  <si>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</si>
  <si>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</si>
  <si>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</si>
  <si>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</si>
  <si>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</si>
  <si>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</si>
  <si>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</si>
  <si>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</si>
  <si>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</si>
  <si>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</si>
  <si>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</si>
  <si>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</si>
  <si>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</si>
  <si>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</si>
  <si>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</si>
  <si>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</si>
  <si>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</si>
  <si>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</si>
  <si>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</si>
  <si>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</si>
  <si>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</si>
  <si>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</si>
  <si>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</si>
  <si>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</si>
  <si>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</si>
  <si>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</si>
  <si>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</si>
  <si>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</si>
  <si>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</si>
  <si>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</si>
  <si>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</si>
  <si>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</si>
  <si>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</si>
  <si>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</si>
  <si>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</si>
  <si>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</si>
  <si>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</si>
  <si>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</si>
  <si>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</si>
  <si>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</si>
  <si>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</si>
  <si>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</si>
  <si>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</si>
  <si>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</si>
  <si>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</si>
  <si>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</si>
  <si>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</si>
  <si>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</si>
  <si>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</si>
  <si>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</si>
  <si>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</si>
  <si>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</si>
  <si>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</si>
  <si>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</si>
  <si>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</si>
  <si>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</si>
  <si>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</si>
  <si>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</si>
  <si>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</si>
  <si>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</si>
  <si>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</si>
  <si>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</si>
  <si>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</si>
  <si>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</si>
  <si>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</si>
  <si>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</si>
  <si>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</si>
  <si>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</si>
  <si>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</si>
  <si>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</si>
  <si>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</si>
  <si>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</si>
  <si>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</si>
  <si>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</si>
  <si>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</si>
  <si>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</si>
  <si>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</si>
  <si>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</si>
  <si>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</si>
  <si>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</si>
  <si>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</si>
  <si>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</si>
  <si>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</si>
  <si>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</si>
  <si>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</si>
  <si>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</si>
  <si>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</si>
  <si>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</si>
  <si>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</si>
  <si>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</si>
  <si>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</si>
  <si>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</si>
  <si>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</si>
  <si>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</si>
  <si>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</si>
  <si>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</si>
  <si>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</si>
  <si>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</si>
  <si>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</si>
  <si>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</si>
  <si>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</si>
  <si>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</si>
  <si>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</si>
  <si>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</si>
  <si>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</si>
  <si>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</si>
  <si>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</si>
  <si>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</si>
  <si>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</si>
  <si>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</si>
  <si>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</si>
  <si>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</si>
  <si>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</si>
  <si>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</si>
  <si>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</si>
  <si>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</si>
  <si>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</si>
  <si>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</si>
  <si>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</si>
  <si>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</si>
  <si>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</si>
  <si>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</si>
  <si>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</si>
  <si>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</si>
  <si>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</si>
  <si>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</si>
  <si>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</si>
  <si>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</si>
  <si>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</si>
  <si>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</si>
  <si>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</si>
  <si>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</si>
  <si>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</si>
  <si>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</si>
  <si>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</si>
  <si>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</si>
  <si>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</si>
  <si>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</si>
  <si>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</si>
  <si>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</si>
  <si>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</si>
  <si>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</si>
  <si>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</si>
  <si>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</si>
  <si>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</si>
  <si>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</si>
  <si>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</si>
  <si>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</si>
  <si>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</si>
  <si>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</si>
  <si>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</si>
  <si>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</si>
  <si>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</si>
  <si>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</si>
  <si>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</si>
  <si>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</si>
  <si>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</si>
  <si>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</si>
  <si>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</si>
  <si>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</si>
  <si>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</si>
  <si>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</si>
  <si>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</si>
  <si>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</si>
  <si>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</si>
  <si>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</si>
  <si>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</si>
  <si>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</si>
  <si>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</si>
  <si>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</si>
  <si>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</si>
  <si>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</si>
  <si>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</si>
  <si>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</si>
  <si>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</si>
  <si>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</si>
  <si>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</si>
  <si>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</si>
  <si>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</si>
  <si>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</si>
  <si>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</si>
  <si>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</si>
  <si>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</si>
  <si>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</si>
  <si>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</si>
  <si>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</si>
  <si>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</si>
  <si>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</si>
  <si>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</si>
  <si>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</si>
  <si>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</si>
  <si>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</si>
  <si>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</si>
  <si>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</si>
  <si>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</si>
  <si>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</si>
  <si>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</si>
  <si>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</si>
  <si>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</si>
  <si>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</si>
  <si>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</si>
  <si>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</si>
  <si>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</si>
  <si>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</si>
  <si>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</si>
  <si>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</si>
  <si>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</si>
  <si>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</si>
  <si>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</si>
  <si>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</si>
  <si>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</si>
  <si>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</si>
  <si>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</si>
  <si>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</si>
  <si>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</si>
  <si>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</si>
  <si>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</si>
  <si>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</si>
  <si>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</si>
  <si>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</si>
  <si>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</si>
  <si>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</si>
  <si>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</si>
  <si>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</si>
  <si>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</si>
  <si>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</si>
  <si>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</si>
  <si>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</si>
  <si>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</si>
  <si>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</si>
  <si>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</si>
  <si>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</si>
  <si>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</si>
  <si>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</si>
  <si>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</si>
  <si>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</si>
  <si>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</si>
  <si>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</si>
  <si>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</si>
  <si>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</si>
  <si>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</si>
  <si>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</si>
  <si>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</si>
  <si>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</si>
  <si>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</si>
  <si>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</si>
  <si>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</si>
  <si>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</si>
  <si>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</si>
  <si>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</si>
  <si>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</si>
  <si>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</si>
  <si>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</si>
  <si>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</si>
  <si>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</si>
  <si>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</si>
  <si>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</si>
  <si>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</si>
  <si>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</si>
  <si>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</si>
  <si>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</si>
  <si>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</si>
  <si>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</si>
  <si>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</si>
  <si>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</si>
  <si>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</si>
  <si>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</si>
  <si>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</si>
  <si>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</si>
  <si>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</si>
  <si>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</si>
  <si>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</si>
  <si>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</si>
  <si>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</si>
  <si>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</si>
  <si>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</si>
  <si>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</si>
  <si>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</si>
  <si>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</si>
  <si>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</si>
  <si>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</si>
  <si>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</si>
  <si>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</si>
  <si>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</si>
  <si>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</si>
  <si>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</si>
  <si>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</si>
  <si>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</si>
  <si>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</si>
  <si>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</si>
  <si>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</si>
  <si>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</si>
  <si>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</si>
  <si>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</si>
  <si>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</si>
  <si>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</si>
  <si>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</si>
  <si>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</si>
  <si>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</si>
  <si>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</si>
  <si>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</si>
  <si>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</si>
  <si>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</si>
  <si>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</si>
  <si>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</si>
  <si>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</si>
  <si>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</si>
  <si>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</si>
  <si>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</si>
  <si>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</si>
  <si>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</si>
  <si>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</si>
  <si>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</si>
  <si>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</si>
  <si>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</si>
  <si>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</si>
  <si>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</si>
  <si>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</si>
  <si>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</si>
  <si>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</si>
  <si>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</si>
  <si>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</si>
  <si>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</si>
  <si>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</si>
  <si>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</si>
  <si>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</si>
  <si>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</si>
  <si>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</si>
  <si>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</si>
  <si>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</si>
  <si>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</si>
  <si>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</si>
  <si>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</si>
  <si>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</si>
  <si>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</si>
  <si>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</si>
  <si>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</si>
  <si>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</si>
  <si>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</si>
  <si>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</si>
  <si>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</si>
  <si>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</si>
  <si>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</si>
  <si>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</si>
  <si>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</si>
  <si>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</si>
  <si>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</si>
  <si>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</si>
  <si>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</si>
  <si>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</si>
  <si>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</si>
  <si>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</si>
  <si>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</si>
  <si>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</si>
  <si>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</si>
  <si>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</si>
  <si>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</si>
  <si>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</si>
  <si>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</si>
  <si>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</si>
  <si>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</si>
  <si>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</si>
  <si>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</si>
  <si>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</si>
  <si>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</si>
  <si>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</si>
  <si>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</si>
  <si>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</si>
  <si>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</si>
  <si>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</si>
  <si>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</si>
  <si>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</si>
  <si>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</si>
  <si>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</si>
  <si>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</si>
  <si>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</si>
  <si>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</si>
  <si>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</si>
  <si>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</si>
  <si>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</si>
  <si>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</si>
  <si>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</si>
  <si>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</si>
  <si>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</si>
  <si>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</si>
  <si>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</si>
  <si>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</si>
  <si>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</si>
  <si>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</si>
  <si>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</si>
  <si>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</si>
  <si>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</si>
  <si>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</si>
  <si>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</si>
  <si>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</si>
  <si>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</si>
  <si>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</si>
  <si>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</si>
  <si>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</si>
  <si>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</si>
  <si>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</si>
  <si>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</si>
  <si>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</si>
  <si>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</si>
  <si>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</si>
  <si>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</si>
  <si>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</si>
  <si>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</si>
  <si>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</si>
  <si>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</si>
  <si>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</si>
  <si>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</si>
  <si>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</si>
  <si>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</si>
  <si>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</si>
  <si>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</si>
  <si>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</si>
  <si>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</si>
  <si>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</si>
  <si>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</si>
  <si>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</si>
  <si>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</si>
  <si>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</si>
  <si>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</si>
  <si>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</si>
  <si>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</si>
  <si>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</si>
  <si>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</si>
  <si>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</si>
  <si>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</si>
  <si>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</si>
  <si>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</si>
  <si>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</si>
  <si>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</si>
  <si>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</si>
  <si>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</si>
  <si>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</si>
  <si>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</si>
  <si>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</si>
  <si>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</si>
  <si>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</si>
  <si>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</si>
  <si>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</si>
  <si>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</si>
  <si>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</si>
  <si>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</si>
  <si>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</si>
  <si>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</si>
  <si>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</si>
  <si>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</si>
  <si>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</si>
  <si>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</si>
  <si>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</si>
  <si>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</si>
  <si>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</si>
  <si>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</si>
  <si>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</si>
  <si>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</si>
  <si>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</si>
  <si>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</si>
  <si>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</si>
  <si>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</si>
  <si>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</si>
  <si>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</si>
  <si>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</si>
  <si>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</si>
  <si>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</si>
  <si>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</si>
  <si>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</si>
  <si>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</si>
  <si>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</si>
  <si>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</si>
  <si>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</si>
  <si>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</si>
  <si>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</si>
  <si>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</si>
  <si>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</si>
  <si>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</si>
  <si>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</si>
  <si>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</si>
  <si>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</si>
  <si>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</si>
  <si>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</si>
  <si>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</si>
  <si>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</si>
  <si>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</si>
  <si>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</si>
  <si>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</si>
  <si>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</si>
  <si>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</si>
  <si>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</si>
  <si>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</si>
  <si>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</si>
  <si>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</si>
  <si>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</si>
  <si>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</si>
  <si>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</si>
  <si>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</si>
  <si>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</si>
  <si>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</si>
  <si>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</si>
  <si>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</si>
  <si>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</si>
  <si>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</si>
  <si>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</si>
  <si>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</si>
  <si>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</si>
  <si>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</si>
  <si>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</si>
  <si>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</si>
  <si>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</si>
  <si>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</si>
  <si>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</si>
  <si>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</si>
  <si>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</si>
  <si>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</si>
  <si>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</si>
  <si>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</si>
  <si>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</si>
  <si>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</si>
  <si>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</si>
  <si>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</si>
  <si>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</si>
  <si>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</si>
  <si>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</si>
  <si>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</si>
  <si>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</si>
  <si>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</si>
  <si>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</si>
  <si>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</si>
  <si>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</si>
  <si>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</si>
  <si>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</si>
  <si>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</si>
  <si>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</si>
  <si>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</si>
  <si>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</si>
  <si>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</si>
  <si>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</si>
  <si>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</si>
  <si>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</si>
  <si>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</si>
  <si>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</si>
  <si>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</si>
  <si>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</si>
  <si>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</si>
  <si>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</si>
  <si>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</si>
  <si>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</si>
  <si>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</si>
  <si>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</si>
  <si>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</si>
  <si>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</si>
  <si>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</si>
  <si>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</si>
  <si>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</si>
  <si>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</si>
  <si>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</si>
  <si>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</si>
  <si>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</si>
  <si>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</si>
  <si>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</si>
  <si>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</si>
  <si>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</si>
  <si>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</si>
  <si>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</si>
  <si>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</si>
  <si>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</si>
  <si>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</si>
  <si>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</si>
  <si>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</si>
  <si>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</si>
  <si>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</si>
  <si>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</si>
  <si>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</si>
  <si>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</si>
  <si>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</si>
  <si>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</si>
  <si>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</si>
  <si>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</si>
  <si>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</si>
  <si>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</si>
  <si>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</si>
  <si>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</si>
  <si>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</si>
  <si>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</si>
  <si>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</si>
  <si>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</si>
  <si>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</si>
  <si>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</si>
  <si>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</si>
  <si>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</si>
  <si>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</si>
  <si>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</si>
  <si>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</si>
  <si>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</si>
  <si>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</si>
  <si>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</si>
  <si>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</si>
  <si>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</si>
  <si>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</si>
  <si>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</si>
  <si>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</si>
  <si>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</si>
  <si>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</si>
  <si>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</si>
  <si>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</si>
  <si>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</si>
  <si>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</si>
  <si>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</si>
  <si>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</si>
  <si>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</si>
  <si>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</si>
  <si>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</si>
  <si>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</si>
  <si>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</si>
  <si>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</si>
  <si>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</si>
  <si>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</si>
  <si>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</si>
  <si>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</si>
  <si>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</si>
  <si>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</si>
  <si>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</si>
  <si>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</si>
  <si>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</si>
  <si>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</si>
  <si>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</si>
  <si>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</si>
  <si>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</si>
  <si>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</si>
  <si>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</si>
  <si>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</si>
  <si>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</si>
  <si>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</si>
  <si>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</si>
  <si>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</si>
  <si>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</si>
  <si>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</si>
  <si>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</si>
  <si>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</si>
  <si>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</si>
  <si>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</si>
  <si>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</si>
  <si>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</si>
  <si>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</si>
  <si>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</si>
  <si>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</si>
  <si>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</si>
  <si>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</si>
  <si>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</si>
  <si>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</si>
  <si>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</si>
  <si>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</si>
  <si>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</si>
  <si>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</si>
  <si>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</si>
  <si>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</si>
  <si>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</si>
  <si>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</si>
  <si>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</si>
  <si>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</si>
  <si>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</si>
  <si>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</si>
  <si>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</si>
  <si>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</si>
  <si>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</si>
  <si>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</si>
  <si>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</si>
  <si>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</si>
  <si>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</si>
  <si>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</si>
  <si>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</si>
  <si>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</si>
  <si>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</si>
  <si>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</si>
  <si>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</si>
  <si>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</si>
  <si>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</si>
  <si>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</si>
  <si>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</si>
  <si>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</si>
  <si>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</si>
  <si>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</si>
  <si>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</si>
  <si>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</si>
  <si>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</si>
  <si>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</si>
  <si>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</si>
  <si>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</si>
  <si>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</si>
  <si>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</si>
  <si>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</si>
  <si>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</si>
  <si>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</si>
  <si>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</si>
  <si>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</si>
  <si>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</si>
  <si>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</si>
  <si>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</si>
  <si>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</si>
  <si>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</si>
  <si>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</si>
  <si>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</si>
  <si>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</si>
  <si>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</si>
  <si>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</si>
  <si>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</si>
  <si>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</si>
  <si>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</si>
  <si>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</si>
  <si>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</si>
  <si>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</si>
  <si>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</si>
  <si>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</si>
  <si>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</si>
  <si>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</si>
  <si>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</si>
  <si>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</si>
  <si>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</si>
  <si>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</si>
  <si>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</si>
  <si>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</si>
  <si>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</si>
  <si>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</si>
  <si>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</si>
  <si>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</si>
  <si>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</si>
  <si>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</si>
  <si>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</si>
  <si>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</si>
  <si>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</si>
  <si>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</si>
  <si>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</si>
  <si>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</si>
  <si>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</si>
  <si>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</si>
  <si>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</si>
  <si>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</si>
  <si>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</si>
  <si>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</si>
  <si>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</si>
  <si>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</si>
  <si>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</si>
  <si>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</si>
  <si>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</si>
  <si>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</si>
  <si>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</si>
  <si>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</si>
  <si>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</si>
  <si>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</si>
  <si>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</si>
  <si>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</si>
  <si>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</si>
  <si>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</si>
  <si>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</si>
  <si>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</si>
  <si>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</si>
  <si>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</si>
  <si>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</si>
  <si>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</si>
  <si>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</si>
  <si>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</si>
  <si>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</si>
  <si>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</si>
  <si>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</si>
  <si>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</si>
  <si>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</si>
  <si>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</si>
  <si>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</si>
  <si>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</si>
  <si>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</si>
  <si>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</si>
  <si>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</si>
  <si>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</si>
  <si>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</si>
  <si>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</si>
  <si>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</si>
  <si>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</si>
  <si>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</si>
  <si>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</si>
  <si>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</si>
  <si>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</si>
  <si>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</si>
  <si>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</si>
  <si>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</si>
  <si>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</si>
  <si>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</si>
  <si>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</si>
  <si>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</si>
  <si>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</si>
  <si>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</si>
  <si>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</si>
  <si>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</si>
  <si>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</si>
  <si>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</si>
  <si>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</si>
  <si>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</si>
  <si>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</si>
  <si>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</si>
  <si>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</si>
  <si>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</si>
  <si>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</si>
  <si>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</si>
  <si>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</si>
  <si>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</si>
  <si>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</si>
  <si>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</si>
  <si>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</si>
  <si>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</si>
  <si>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</si>
  <si>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</si>
  <si>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</si>
  <si>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</si>
  <si>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</si>
  <si>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</si>
  <si>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</si>
  <si>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</si>
  <si>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</si>
  <si>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</si>
  <si>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</si>
  <si>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</si>
  <si>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</si>
  <si>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</si>
  <si>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</si>
  <si>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</si>
  <si>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</si>
  <si>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</si>
  <si>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</si>
  <si>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</si>
  <si>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</si>
  <si>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</si>
  <si>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</si>
  <si>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</si>
  <si>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</si>
  <si>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</si>
  <si>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</si>
  <si>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</si>
  <si>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</si>
  <si>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</si>
  <si>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</si>
  <si>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</si>
  <si>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</si>
  <si>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</si>
  <si>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</si>
  <si>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</si>
  <si>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</si>
  <si>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</si>
  <si>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</si>
  <si>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</si>
  <si>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</si>
  <si>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</si>
  <si>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</si>
  <si>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</si>
  <si>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</si>
  <si>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</si>
  <si>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</si>
  <si>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</si>
  <si>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</si>
  <si>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</si>
  <si>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</si>
  <si>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</si>
  <si>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</si>
  <si>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</si>
  <si>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</si>
  <si>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</si>
  <si>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</si>
  <si>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</si>
  <si>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</si>
  <si>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</si>
  <si>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</si>
  <si>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</si>
  <si>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</si>
  <si>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</si>
  <si>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</si>
  <si>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</si>
  <si>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</si>
  <si>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</si>
  <si>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</si>
  <si>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</si>
  <si>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</si>
  <si>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</si>
  <si>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</si>
  <si>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</si>
  <si>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</si>
  <si>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</si>
  <si>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</si>
  <si>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</si>
  <si>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</si>
  <si>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</si>
  <si>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</si>
  <si>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</si>
  <si>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</si>
  <si>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</si>
  <si>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</si>
  <si>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</si>
  <si>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</si>
  <si>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</si>
  <si>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</si>
  <si>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</si>
  <si>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</si>
  <si>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</si>
  <si>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</si>
  <si>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</si>
  <si>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</si>
  <si>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</si>
  <si>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</si>
  <si>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</si>
  <si>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</si>
  <si>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</si>
  <si>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</si>
  <si>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</si>
  <si>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</si>
  <si>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</si>
  <si>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</si>
  <si>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</si>
  <si>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</si>
  <si>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</si>
  <si>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</si>
  <si>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</si>
  <si>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</si>
  <si>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</si>
  <si>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</si>
  <si>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</si>
  <si>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</si>
  <si>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</si>
  <si>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</si>
  <si>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</si>
  <si>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</si>
  <si>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</si>
  <si>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</si>
  <si>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</si>
  <si>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</si>
  <si>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</si>
  <si>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</si>
  <si>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</si>
  <si>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</si>
  <si>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</si>
  <si>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</si>
  <si>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</si>
  <si>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</si>
  <si>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</si>
  <si>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</si>
  <si>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</si>
  <si>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</si>
  <si>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</si>
  <si>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</si>
  <si>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</si>
  <si>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</si>
  <si>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</si>
  <si>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</si>
  <si>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</si>
  <si>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</si>
  <si>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</si>
  <si>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</si>
  <si>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</si>
  <si>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</si>
  <si>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</si>
  <si>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</si>
  <si>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</si>
  <si>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</si>
  <si>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</si>
  <si>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</si>
  <si>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</si>
  <si>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</si>
  <si>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</si>
  <si>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</si>
  <si>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</si>
  <si>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</si>
  <si>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</si>
  <si>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</si>
  <si>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</si>
  <si>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</si>
  <si>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</si>
  <si>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</si>
  <si>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</si>
  <si>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</si>
  <si>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</si>
  <si>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</si>
  <si>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</si>
  <si>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</si>
  <si>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</si>
  <si>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</si>
  <si>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</si>
  <si>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</si>
  <si>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</si>
  <si>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</si>
  <si>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</si>
  <si>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</si>
  <si>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</si>
  <si>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</si>
  <si>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</si>
  <si>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</si>
  <si>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</si>
  <si>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</si>
  <si>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</si>
  <si>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</si>
  <si>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</si>
  <si>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</si>
  <si>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</si>
  <si>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</si>
  <si>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</si>
  <si>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</si>
  <si>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</si>
  <si>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</si>
  <si>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</si>
  <si>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</si>
  <si>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</si>
  <si>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</si>
  <si>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</si>
  <si>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</si>
  <si>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</si>
  <si>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</si>
  <si>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</si>
  <si>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</si>
  <si>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</si>
  <si>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</si>
  <si>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</si>
  <si>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</si>
  <si>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</si>
  <si>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</si>
  <si>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</si>
  <si>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</si>
  <si>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</si>
  <si>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</si>
  <si>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</si>
  <si>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</si>
  <si>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</si>
  <si>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</si>
  <si>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</si>
  <si>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</si>
  <si>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</si>
  <si>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</si>
  <si>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</si>
  <si>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</si>
  <si>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</si>
  <si>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</si>
  <si>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</si>
  <si>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</si>
  <si>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</si>
  <si>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</si>
  <si>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</si>
  <si>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</si>
  <si>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</si>
  <si>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</si>
  <si>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</si>
  <si>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</si>
  <si>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</si>
  <si>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</si>
  <si>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</si>
  <si>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</si>
  <si>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</si>
  <si>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</si>
  <si>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</si>
  <si>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</si>
  <si>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</si>
  <si>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</si>
  <si>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</si>
  <si>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</si>
  <si>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</si>
  <si>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</si>
  <si>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</si>
  <si>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</si>
  <si>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</si>
  <si>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</si>
  <si>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</si>
  <si>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</si>
  <si>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</si>
  <si>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</si>
  <si>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</si>
  <si>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</si>
  <si>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</si>
  <si>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</si>
  <si>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</si>
  <si>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</si>
  <si>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</si>
  <si>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</si>
  <si>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</si>
  <si>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</si>
  <si>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</si>
  <si>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</si>
  <si>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</si>
  <si>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</si>
  <si>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</si>
  <si>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</si>
  <si>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</si>
  <si>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</si>
  <si>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</si>
  <si>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</si>
  <si>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</si>
  <si>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</si>
  <si>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</si>
  <si>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</si>
  <si>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</si>
  <si>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</si>
  <si>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</si>
  <si>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</si>
  <si>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</si>
  <si>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</si>
  <si>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</si>
  <si>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</si>
  <si>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</si>
  <si>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</si>
  <si>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</si>
  <si>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</si>
  <si>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</si>
  <si>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</si>
  <si>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</si>
  <si>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</si>
  <si>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</si>
  <si>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</si>
  <si>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</si>
  <si>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</si>
  <si>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</si>
  <si>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</si>
  <si>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</si>
  <si>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</si>
  <si>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</si>
  <si>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</si>
  <si>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</si>
  <si>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</si>
  <si>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</si>
  <si>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</si>
  <si>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</si>
  <si>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</si>
  <si>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</si>
  <si>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</si>
  <si>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</si>
  <si>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</si>
  <si>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</si>
  <si>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</si>
  <si>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</si>
  <si>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</si>
  <si>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</si>
  <si>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</si>
  <si>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</si>
  <si>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</si>
  <si>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</si>
  <si>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</si>
  <si>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</si>
  <si>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</si>
  <si>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</si>
  <si>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</si>
  <si>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</si>
  <si>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</si>
  <si>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</si>
  <si>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</si>
  <si>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</si>
  <si>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</si>
  <si>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</si>
  <si>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</si>
  <si>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</si>
  <si>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</si>
  <si>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</si>
  <si>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</si>
  <si>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</si>
  <si>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</si>
  <si>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</si>
  <si>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</si>
  <si>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</si>
  <si>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</si>
  <si>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</si>
  <si>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</si>
  <si>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</si>
  <si>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</si>
  <si>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</si>
  <si>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</si>
  <si>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</si>
  <si>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</si>
  <si>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</si>
  <si>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</si>
  <si>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</si>
  <si>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</si>
  <si>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</si>
  <si>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</si>
  <si>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</si>
  <si>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</si>
  <si>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</si>
  <si>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</si>
  <si>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</si>
  <si>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</si>
  <si>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</si>
  <si>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</si>
  <si>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</si>
  <si>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</si>
  <si>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</si>
  <si>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</si>
  <si>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</si>
  <si>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</si>
  <si>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</si>
  <si>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</si>
  <si>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</si>
  <si>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</si>
  <si>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</si>
  <si>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</si>
  <si>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</si>
  <si>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</si>
  <si>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</si>
  <si>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</si>
  <si>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</si>
  <si>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</si>
  <si>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</si>
  <si>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</si>
  <si>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</si>
  <si>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</si>
  <si>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</si>
  <si>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</si>
  <si>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</si>
  <si>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</si>
  <si>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</si>
  <si>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</si>
  <si>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</si>
  <si>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</si>
  <si>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</si>
  <si>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</si>
  <si>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</si>
  <si>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</si>
  <si>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</si>
  <si>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</si>
  <si>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</si>
  <si>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</si>
  <si>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</si>
  <si>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</si>
  <si>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</si>
  <si>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</si>
  <si>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</si>
  <si>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</si>
  <si>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</si>
  <si>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</si>
  <si>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</si>
  <si>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</si>
  <si>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</si>
  <si>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</si>
  <si>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</si>
  <si>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</si>
  <si>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</si>
  <si>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</si>
  <si>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</si>
  <si>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</si>
  <si>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</si>
  <si>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</si>
  <si>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</si>
  <si>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</si>
  <si>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</si>
  <si>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</si>
  <si>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</si>
  <si>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</si>
  <si>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</si>
  <si>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</si>
  <si>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</si>
  <si>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</si>
  <si>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</si>
  <si>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</si>
  <si>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</si>
  <si>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</si>
  <si>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</si>
  <si>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</si>
  <si>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</si>
  <si>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</si>
  <si>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</si>
  <si>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</si>
  <si>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</si>
  <si>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</si>
  <si>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</si>
  <si>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</si>
  <si>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</si>
  <si>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</si>
  <si>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</si>
  <si>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</si>
  <si>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</si>
  <si>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</si>
  <si>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</si>
  <si>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</si>
  <si>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</si>
  <si>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</si>
  <si>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</si>
  <si>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</si>
  <si>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</si>
  <si>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</si>
  <si>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</si>
  <si>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</si>
  <si>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</si>
  <si>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</si>
  <si>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</si>
  <si>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</si>
  <si>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</si>
  <si>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</si>
  <si>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</si>
  <si>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</si>
  <si>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</si>
  <si>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</si>
  <si>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</si>
  <si>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</si>
  <si>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</si>
  <si>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</si>
  <si>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</si>
  <si>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</si>
  <si>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</si>
  <si>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</si>
  <si>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</si>
  <si>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</si>
  <si>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</si>
  <si>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</si>
  <si>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</si>
  <si>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</si>
  <si>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</si>
  <si>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</si>
  <si>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</si>
  <si>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</si>
  <si>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</si>
  <si>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</si>
  <si>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</si>
  <si>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</si>
  <si>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</si>
  <si>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</si>
  <si>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</si>
  <si>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</si>
  <si>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</si>
  <si>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</si>
  <si>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</si>
  <si>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</si>
  <si>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</si>
  <si>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</si>
  <si>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</si>
  <si>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</si>
  <si>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</si>
  <si>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</si>
  <si>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</si>
  <si>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</si>
  <si>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</si>
  <si>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</si>
  <si>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</si>
  <si>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</si>
  <si>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</si>
  <si>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</si>
  <si>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</si>
  <si>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</si>
  <si>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</si>
  <si>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</si>
  <si>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</si>
  <si>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</si>
  <si>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</si>
  <si>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</si>
  <si>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</si>
  <si>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</si>
  <si>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</si>
  <si>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</si>
  <si>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</si>
  <si>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</si>
  <si>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</si>
  <si>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</si>
  <si>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</si>
  <si>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</si>
  <si>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</si>
  <si>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</si>
  <si>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</si>
  <si>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</si>
  <si>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</si>
  <si>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</si>
  <si>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</si>
  <si>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</si>
  <si>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</si>
  <si>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</si>
  <si>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</si>
  <si>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</si>
  <si>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</si>
  <si>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</si>
  <si>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</si>
  <si>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</si>
  <si>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</si>
  <si>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</si>
  <si>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</si>
  <si>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</si>
  <si>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</si>
  <si>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</si>
  <si>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</si>
  <si>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</si>
  <si>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</si>
  <si>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</si>
  <si>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</si>
  <si>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</si>
  <si>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</si>
  <si>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</si>
  <si>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</si>
  <si>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</si>
  <si>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</si>
  <si>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</si>
  <si>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</si>
  <si>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</si>
  <si>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</si>
  <si>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</si>
  <si>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</si>
  <si>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</si>
  <si>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</si>
  <si>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</si>
  <si>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</si>
  <si>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</si>
  <si>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</si>
  <si>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</si>
  <si>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</si>
  <si>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</si>
  <si>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</si>
  <si>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</si>
  <si>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</si>
  <si>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</si>
  <si>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</si>
  <si>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</si>
  <si>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</si>
  <si>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</si>
  <si>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</si>
  <si>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</si>
  <si>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</si>
  <si>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</si>
  <si>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</si>
  <si>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</si>
  <si>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</si>
  <si>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</si>
  <si>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</si>
  <si>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</si>
  <si>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</si>
  <si>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</si>
  <si>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</si>
  <si>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</si>
  <si>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</si>
  <si>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</si>
  <si>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</si>
  <si>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</si>
  <si>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</si>
  <si>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</si>
  <si>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</si>
  <si>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</si>
  <si>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</si>
  <si>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</si>
  <si>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</si>
  <si>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</si>
  <si>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</si>
  <si>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</si>
  <si>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</si>
  <si>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</si>
  <si>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</si>
  <si>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</si>
  <si>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</si>
  <si>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</si>
  <si>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</si>
  <si>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</si>
  <si>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</si>
  <si>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</si>
  <si>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</si>
  <si>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</si>
  <si>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</si>
  <si>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</si>
  <si>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</si>
  <si>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</si>
  <si>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</si>
  <si>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</si>
  <si>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</si>
  <si>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</si>
  <si>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</si>
  <si>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</si>
  <si>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</si>
  <si>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</si>
  <si>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</si>
  <si>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</si>
  <si>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</si>
  <si>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</si>
  <si>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</si>
  <si>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</si>
  <si>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</si>
  <si>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</si>
  <si>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</si>
  <si>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</si>
  <si>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</si>
  <si>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</si>
  <si>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</si>
  <si>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</si>
  <si>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</si>
  <si>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</si>
  <si>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</si>
  <si>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</si>
  <si>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</si>
  <si>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</si>
  <si>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</si>
  <si>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</si>
  <si>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</si>
  <si>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</si>
  <si>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</si>
  <si>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</si>
  <si>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</si>
  <si>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</si>
  <si>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</si>
  <si>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</si>
  <si>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</si>
  <si>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</si>
  <si>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</si>
  <si>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</si>
  <si>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</si>
  <si>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</si>
  <si>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</si>
  <si>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</si>
  <si>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</si>
  <si>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</si>
  <si>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</si>
  <si>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</si>
  <si>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</si>
  <si>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</si>
  <si>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</si>
  <si>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</si>
  <si>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</si>
  <si>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</si>
  <si>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</si>
  <si>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</si>
  <si>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</si>
  <si>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</si>
  <si>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</si>
  <si>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</si>
  <si>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</si>
  <si>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</si>
  <si>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</si>
  <si>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</si>
  <si>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</si>
  <si>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</si>
  <si>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</si>
  <si>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</si>
  <si>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</si>
  <si>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</si>
  <si>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</si>
  <si>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</si>
  <si>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</si>
  <si>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</si>
  <si>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</si>
  <si>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</si>
  <si>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</si>
  <si>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</si>
  <si>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</si>
  <si>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</si>
  <si>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</si>
  <si>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</si>
  <si>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</si>
  <si>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</si>
  <si>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</si>
  <si>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</si>
  <si>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</si>
  <si>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</si>
  <si>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</si>
  <si>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</si>
  <si>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</si>
  <si>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</si>
  <si>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</si>
  <si>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</si>
  <si>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</si>
  <si>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</si>
  <si>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</si>
  <si>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</si>
  <si>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</si>
  <si>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</si>
  <si>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</si>
  <si>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</si>
  <si>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</si>
  <si>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</si>
  <si>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</si>
  <si>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</si>
  <si>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</si>
  <si>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</si>
  <si>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</si>
  <si>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</si>
  <si>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</si>
  <si>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</si>
  <si>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</si>
  <si>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</si>
  <si>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</si>
  <si>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</si>
  <si>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</si>
  <si>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</si>
  <si>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</si>
  <si>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</si>
  <si>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</si>
  <si>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</si>
  <si>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</si>
  <si>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</si>
  <si>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</si>
  <si>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</si>
  <si>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</si>
  <si>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</si>
  <si>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</si>
  <si>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</si>
  <si>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</si>
  <si>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</si>
  <si>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</si>
  <si>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</si>
  <si>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</si>
  <si>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</si>
  <si>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</si>
  <si>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</si>
  <si>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</si>
  <si>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</si>
  <si>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</si>
  <si>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</si>
  <si>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</si>
  <si>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</si>
  <si>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</si>
  <si>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</si>
  <si>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</si>
  <si>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</si>
  <si>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</si>
  <si>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</si>
  <si>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</si>
  <si>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</si>
  <si>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</si>
  <si>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</si>
  <si>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</si>
  <si>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</si>
  <si>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</si>
  <si>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</si>
  <si>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</si>
  <si>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</si>
  <si>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</si>
  <si>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</si>
  <si>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</si>
  <si>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</si>
  <si>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</si>
  <si>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</si>
  <si>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</si>
  <si>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</si>
  <si>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</si>
  <si>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</si>
  <si>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</si>
  <si>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</si>
  <si>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</si>
  <si>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</si>
  <si>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</si>
  <si>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</si>
  <si>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</si>
  <si>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</si>
  <si>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</si>
  <si>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</si>
  <si>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</si>
  <si>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</si>
  <si>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</si>
  <si>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</si>
  <si>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</si>
  <si>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</si>
  <si>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</si>
  <si>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</si>
  <si>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</si>
  <si>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</si>
  <si>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</si>
  <si>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</si>
  <si>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</si>
  <si>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</si>
  <si>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</si>
  <si>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</si>
  <si>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</si>
  <si>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</si>
  <si>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</si>
  <si>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</si>
  <si>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</si>
  <si>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</si>
  <si>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</si>
  <si>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</si>
  <si>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</si>
  <si>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</si>
  <si>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</si>
  <si>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</si>
  <si>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</si>
  <si>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</si>
  <si>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</si>
  <si>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</si>
  <si>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</si>
  <si>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</si>
  <si>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</si>
  <si>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</si>
  <si>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</si>
  <si>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</si>
  <si>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</si>
  <si>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</si>
  <si>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</si>
  <si>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</si>
  <si>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</si>
  <si>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</si>
  <si>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</si>
  <si>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</si>
  <si>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</si>
  <si>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</si>
  <si>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</si>
  <si>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</si>
  <si>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</si>
  <si>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</si>
  <si>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</si>
  <si>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</si>
  <si>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</si>
  <si>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</si>
  <si>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</si>
  <si>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</si>
  <si>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</si>
  <si>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</si>
  <si>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</si>
  <si>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</si>
  <si>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</si>
  <si>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</si>
  <si>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</si>
  <si>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</si>
  <si>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</si>
  <si>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</si>
  <si>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</si>
  <si>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</si>
  <si>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</si>
  <si>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</si>
  <si>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</si>
  <si>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</si>
  <si>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</si>
  <si>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</si>
  <si>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</si>
  <si>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</si>
  <si>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</si>
  <si>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</si>
  <si>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</si>
  <si>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</si>
  <si>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</si>
  <si>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</si>
  <si>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</si>
  <si>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</si>
  <si>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</si>
  <si>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</si>
  <si>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</si>
  <si>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</si>
  <si>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</si>
  <si>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</si>
  <si>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</si>
  <si>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</si>
  <si>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</si>
  <si>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</si>
  <si>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</si>
  <si>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</si>
  <si>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</si>
  <si>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</si>
  <si>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</si>
  <si>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</si>
  <si>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</si>
  <si>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</si>
  <si>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</si>
  <si>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</si>
  <si>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</si>
  <si>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</si>
  <si>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</si>
  <si>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</si>
  <si>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</si>
  <si>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</si>
  <si>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</si>
  <si>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</si>
  <si>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</si>
  <si>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</si>
  <si>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</si>
  <si>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</si>
  <si>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</si>
  <si>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</si>
  <si>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</si>
  <si>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</si>
  <si>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</si>
  <si>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</si>
  <si>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</si>
  <si>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</si>
  <si>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</si>
  <si>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</si>
  <si>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</si>
  <si>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</si>
  <si>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</si>
  <si>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</si>
  <si>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</si>
  <si>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</si>
  <si>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</si>
  <si>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</si>
  <si>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</si>
  <si>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</si>
  <si>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</si>
  <si>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</si>
  <si>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</si>
  <si>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</si>
  <si>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</si>
  <si>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</si>
  <si>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</si>
  <si>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</si>
  <si>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</si>
  <si>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</si>
  <si>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</si>
  <si>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</si>
  <si>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</si>
  <si>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</si>
  <si>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</si>
  <si>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</si>
  <si>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</si>
  <si>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</si>
  <si>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</si>
  <si>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</si>
  <si>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</si>
  <si>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</si>
  <si>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</si>
  <si>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</si>
  <si>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</si>
  <si>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</si>
  <si>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</si>
  <si>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</si>
  <si>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</si>
  <si>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</si>
  <si>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</si>
  <si>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</si>
  <si>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</si>
  <si>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</si>
  <si>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</si>
  <si>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</si>
  <si>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</si>
  <si>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</si>
  <si>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</si>
  <si>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</si>
  <si>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</si>
  <si>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</si>
  <si>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</si>
  <si>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</si>
  <si>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</si>
  <si>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</si>
  <si>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</si>
  <si>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</si>
  <si>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</si>
  <si>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</si>
  <si>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</si>
  <si>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</si>
  <si>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</si>
  <si>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</si>
  <si>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</si>
  <si>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</si>
  <si>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</si>
  <si>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</si>
  <si>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</si>
  <si>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</si>
  <si>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</si>
  <si>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</si>
  <si>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</si>
  <si>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</si>
  <si>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</si>
  <si>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</si>
  <si>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</si>
  <si>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</si>
  <si>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</si>
  <si>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</si>
  <si>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</si>
  <si>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</si>
  <si>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</si>
  <si>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</si>
  <si>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</si>
  <si>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</si>
  <si>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</si>
  <si>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</si>
  <si>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</si>
  <si>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</si>
  <si>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</si>
  <si>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</si>
  <si>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</si>
  <si>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</si>
  <si>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</si>
  <si>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</si>
  <si>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</si>
  <si>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</si>
  <si>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</si>
  <si>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</si>
  <si>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</si>
  <si>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</si>
  <si>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</si>
  <si>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</si>
  <si>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</si>
  <si>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</si>
  <si>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</si>
  <si>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</si>
  <si>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</si>
  <si>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</si>
  <si>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</si>
  <si>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</si>
  <si>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</si>
  <si>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</si>
  <si>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</si>
  <si>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</si>
  <si>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</si>
  <si>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</si>
  <si>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</si>
  <si>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</si>
  <si>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</si>
  <si>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</si>
  <si>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</si>
  <si>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</si>
  <si>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</si>
  <si>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</si>
  <si>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</si>
  <si>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</si>
  <si>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</si>
  <si>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</si>
  <si>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</si>
  <si>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</si>
  <si>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</si>
  <si>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</si>
  <si>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</si>
  <si>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</si>
  <si>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</si>
  <si>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</si>
  <si>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</si>
  <si>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</si>
  <si>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</si>
  <si>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</si>
  <si>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</si>
  <si>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</si>
  <si>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</si>
  <si>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</si>
  <si>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</si>
  <si>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</si>
  <si>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</si>
  <si>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</si>
  <si>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</si>
  <si>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</si>
  <si>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</si>
  <si>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</si>
  <si>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</si>
  <si>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</si>
  <si>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</si>
  <si>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</si>
  <si>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</si>
  <si>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</si>
  <si>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</si>
  <si>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</si>
  <si>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</si>
  <si>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</si>
  <si>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</si>
  <si>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</si>
  <si>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</si>
  <si>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</si>
  <si>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</si>
  <si>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</si>
  <si>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</si>
  <si>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</si>
  <si>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</si>
  <si>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</si>
  <si>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</si>
  <si>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</si>
  <si>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</si>
  <si>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</si>
  <si>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</si>
  <si>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</si>
  <si>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</si>
  <si>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</si>
  <si>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</si>
  <si>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</si>
  <si>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</si>
  <si>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</si>
  <si>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</si>
  <si>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</si>
  <si>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</si>
  <si>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</si>
  <si>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</si>
  <si>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</si>
  <si>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</si>
  <si>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</si>
  <si>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</si>
  <si>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</si>
  <si>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</si>
  <si>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</si>
  <si>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</si>
  <si>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</si>
  <si>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</si>
  <si>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</si>
  <si>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</si>
  <si>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</si>
  <si>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</si>
  <si>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</si>
  <si>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</si>
  <si>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</si>
  <si>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</si>
  <si>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</si>
  <si>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</si>
  <si>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</si>
  <si>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</si>
  <si>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</si>
  <si>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</si>
  <si>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</si>
  <si>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</si>
  <si>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</si>
  <si>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</si>
  <si>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</si>
  <si>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</si>
  <si>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</si>
  <si>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</si>
  <si>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</si>
  <si>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</si>
  <si>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</si>
  <si>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</si>
  <si>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</si>
  <si>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</si>
  <si>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</si>
  <si>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</si>
  <si>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</si>
  <si>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</si>
  <si>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</si>
  <si>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</si>
  <si>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</si>
  <si>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</si>
  <si>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</si>
  <si>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</si>
  <si>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</si>
  <si>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</si>
  <si>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</si>
  <si>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</si>
  <si>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</si>
  <si>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</si>
  <si>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</si>
  <si>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</si>
  <si>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</si>
  <si>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</si>
  <si>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</si>
  <si>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</si>
  <si>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</si>
  <si>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</si>
  <si>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</si>
  <si>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</si>
  <si>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</si>
  <si>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</si>
  <si>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</si>
  <si>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</si>
  <si>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</si>
  <si>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</si>
  <si>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</si>
  <si>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</si>
  <si>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</si>
  <si>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</si>
  <si>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</si>
  <si>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</si>
  <si>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</si>
  <si>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</si>
  <si>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</si>
  <si>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</si>
  <si>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</si>
  <si>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</si>
  <si>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</si>
  <si>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</si>
  <si>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</si>
  <si>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</si>
  <si>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</si>
  <si>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</si>
  <si>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</si>
  <si>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</si>
  <si>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</si>
  <si>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</si>
  <si>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</si>
  <si>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</si>
  <si>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</si>
  <si>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</si>
  <si>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</si>
  <si>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</si>
  <si>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</si>
  <si>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</si>
  <si>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</si>
  <si>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</si>
  <si>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</si>
  <si>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</si>
  <si>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</si>
  <si>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</si>
  <si>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</si>
  <si>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</si>
  <si>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</si>
  <si>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</si>
  <si>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</si>
  <si>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</si>
  <si>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</si>
  <si>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</si>
  <si>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</si>
  <si>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</si>
  <si>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</si>
  <si>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</si>
  <si>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</si>
  <si>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</si>
  <si>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</si>
  <si>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</si>
  <si>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</si>
  <si>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</si>
  <si>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</si>
  <si>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</si>
  <si>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</si>
  <si>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</si>
  <si>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</si>
  <si>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</si>
  <si>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</si>
  <si>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</si>
  <si>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</si>
  <si>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</si>
  <si>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</si>
  <si>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</si>
  <si>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</si>
  <si>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</si>
  <si>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</si>
  <si>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</si>
  <si>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</si>
  <si>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</si>
  <si>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</si>
  <si>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</si>
  <si>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</si>
  <si>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</si>
  <si>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</si>
  <si>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</si>
  <si>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</si>
  <si>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</si>
  <si>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</si>
  <si>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</si>
  <si>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</si>
  <si>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</si>
  <si>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</si>
  <si>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</si>
  <si>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</si>
  <si>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</si>
  <si>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</si>
  <si>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</si>
  <si>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</si>
  <si>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</si>
  <si>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</si>
  <si>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</si>
  <si>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</si>
  <si>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</si>
  <si>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</si>
  <si>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</si>
  <si>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</si>
  <si>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</si>
  <si>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</si>
  <si>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</si>
  <si>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</si>
  <si>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</si>
  <si>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</si>
  <si>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</si>
  <si>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</si>
  <si>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</si>
  <si>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</si>
  <si>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</si>
  <si>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</si>
  <si>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</si>
  <si>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</si>
  <si>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</si>
  <si>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</si>
  <si>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</si>
  <si>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</si>
  <si>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</si>
  <si>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</si>
  <si>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</si>
  <si>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</si>
  <si>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</si>
  <si>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</si>
  <si>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</si>
  <si>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</si>
  <si>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</si>
  <si>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</si>
  <si>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</si>
  <si>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</si>
  <si>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</si>
  <si>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</si>
  <si>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</si>
  <si>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</si>
  <si>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</si>
  <si>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</si>
  <si>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</si>
  <si>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</si>
  <si>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</si>
  <si>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</si>
  <si>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</si>
  <si>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</si>
  <si>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</si>
  <si>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</si>
  <si>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</si>
  <si>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</si>
  <si>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</si>
  <si>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</si>
  <si>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</si>
  <si>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</si>
  <si>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</si>
  <si>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</si>
  <si>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</si>
  <si>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</si>
  <si>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</si>
  <si>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</si>
  <si>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</si>
  <si>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</si>
  <si>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</si>
  <si>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</si>
  <si>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</si>
  <si>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</si>
  <si>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</si>
  <si>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</si>
  <si>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</si>
  <si>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</si>
  <si>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</si>
  <si>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</si>
  <si>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</si>
  <si>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</si>
  <si>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</si>
  <si>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</si>
  <si>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</si>
  <si>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</si>
  <si>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</si>
  <si>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</si>
  <si>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</si>
  <si>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</si>
  <si>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</si>
  <si>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</si>
  <si>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</si>
  <si>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</si>
  <si>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</si>
  <si>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</si>
  <si>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</si>
  <si>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</si>
  <si>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</si>
  <si>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</si>
  <si>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</si>
  <si>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</si>
  <si>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</si>
  <si>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</si>
  <si>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</si>
  <si>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</si>
  <si>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</si>
  <si>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</si>
  <si>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</si>
  <si>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</si>
  <si>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</si>
  <si>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</si>
  <si>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</si>
  <si>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</si>
  <si>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</si>
  <si>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</si>
  <si>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</si>
  <si>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</si>
  <si>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</si>
  <si>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</si>
  <si>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</si>
  <si>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</si>
  <si>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</si>
  <si>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</si>
  <si>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</si>
  <si>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</si>
  <si>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</si>
  <si>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</si>
  <si>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</si>
  <si>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</si>
  <si>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</si>
  <si>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</si>
  <si>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</si>
  <si>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</si>
  <si>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</si>
  <si>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</si>
  <si>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</si>
  <si>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</si>
  <si>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</si>
  <si>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</si>
  <si>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</si>
  <si>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</si>
  <si>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</si>
  <si>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</si>
  <si>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</si>
  <si>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</si>
  <si>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</si>
  <si>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</si>
  <si>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</si>
  <si>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</si>
  <si>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</si>
  <si>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</si>
  <si>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</si>
  <si>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</si>
  <si>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</si>
  <si>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</si>
  <si>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</si>
  <si>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</si>
  <si>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</si>
  <si>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</si>
  <si>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</si>
  <si>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</si>
  <si>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</si>
  <si>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</si>
  <si>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</si>
  <si>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</si>
  <si>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</si>
  <si>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</si>
  <si>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</si>
  <si>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</si>
  <si>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</si>
  <si>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</si>
  <si>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</si>
  <si>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</si>
  <si>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</si>
  <si>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</si>
  <si>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</si>
  <si>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</si>
  <si>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</si>
  <si>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</si>
  <si>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</si>
  <si>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</si>
  <si>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</si>
  <si>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</si>
  <si>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</si>
  <si>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</si>
  <si>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</si>
  <si>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</si>
  <si>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</si>
  <si>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</si>
  <si>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</si>
  <si>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</si>
  <si>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</si>
  <si>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</si>
  <si>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</si>
  <si>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</si>
  <si>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</si>
  <si>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</si>
  <si>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</si>
  <si>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</si>
  <si>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</si>
  <si>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</si>
  <si>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</si>
  <si>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</si>
  <si>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</si>
  <si>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</si>
  <si>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</si>
  <si>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</si>
  <si>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</si>
  <si>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</si>
  <si>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</si>
  <si>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</si>
  <si>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</si>
  <si>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</si>
  <si>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</si>
  <si>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</si>
  <si>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</si>
  <si>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</si>
  <si>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</si>
  <si>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</si>
  <si>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</si>
  <si>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</si>
  <si>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</si>
  <si>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</si>
  <si>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</si>
  <si>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</si>
  <si>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</si>
  <si>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</si>
  <si>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</si>
  <si>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</si>
  <si>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</si>
  <si>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</si>
  <si>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</si>
  <si>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</si>
  <si>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</si>
  <si>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</si>
  <si>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</si>
  <si>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</si>
  <si>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</si>
  <si>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</si>
  <si>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</si>
  <si>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</si>
  <si>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</si>
  <si>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</si>
  <si>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</si>
  <si>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</si>
  <si>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</si>
  <si>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</si>
  <si>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</si>
  <si>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</si>
  <si>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</si>
  <si>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</si>
  <si>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</si>
  <si>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</si>
  <si>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</si>
  <si>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</si>
  <si>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</si>
  <si>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</si>
  <si>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</si>
  <si>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</si>
  <si>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</si>
  <si>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</si>
  <si>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</si>
  <si>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</si>
  <si>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</si>
  <si>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</si>
  <si>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</si>
  <si>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</si>
  <si>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</si>
  <si>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</si>
  <si>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</si>
  <si>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</si>
  <si>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</si>
  <si>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</si>
  <si>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</si>
  <si>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</si>
  <si>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</si>
  <si>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</si>
  <si>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</si>
  <si>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</si>
  <si>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</si>
  <si>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</si>
  <si>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</si>
  <si>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</si>
  <si>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</si>
  <si>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</si>
  <si>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</si>
  <si>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</si>
  <si>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</si>
  <si>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</si>
  <si>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</si>
  <si>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</si>
  <si>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</si>
  <si>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</si>
  <si>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</si>
  <si>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</si>
  <si>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</si>
  <si>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</si>
  <si>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</si>
  <si>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</si>
  <si>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</si>
  <si>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</si>
  <si>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</si>
  <si>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</si>
  <si>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</si>
  <si>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</si>
  <si>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</si>
  <si>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</si>
  <si>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</si>
  <si>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</si>
  <si>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</si>
  <si>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</si>
  <si>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</si>
  <si>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</si>
  <si>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</si>
  <si>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</si>
  <si>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</si>
  <si>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</si>
  <si>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</si>
  <si>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</si>
  <si>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</si>
  <si>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</si>
  <si>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</si>
  <si>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</si>
  <si>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</si>
  <si>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</si>
  <si>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</si>
  <si>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</si>
  <si>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</si>
  <si>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</si>
  <si>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</si>
  <si>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</si>
  <si>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</si>
  <si>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</si>
  <si>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</si>
  <si>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</si>
  <si>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</si>
  <si>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</si>
  <si>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</si>
  <si>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</si>
  <si>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</si>
  <si>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</si>
  <si>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</si>
  <si>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</si>
  <si>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</si>
  <si>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</si>
  <si>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</si>
  <si>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</si>
  <si>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</si>
  <si>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</si>
  <si>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</si>
  <si>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</si>
  <si>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</si>
  <si>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</si>
  <si>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</si>
  <si>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</si>
  <si>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</si>
  <si>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</si>
  <si>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</si>
  <si>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</si>
  <si>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</si>
  <si>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</si>
  <si>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</si>
  <si>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</si>
  <si>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</si>
  <si>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</si>
  <si>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</si>
  <si>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</si>
  <si>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</si>
  <si>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</si>
  <si>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</si>
  <si>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</si>
  <si>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</si>
  <si>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</si>
  <si>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</si>
  <si>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</si>
  <si>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</si>
  <si>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</si>
  <si>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</si>
  <si>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</si>
  <si>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</si>
  <si>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</si>
  <si>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</si>
  <si>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</si>
  <si>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</si>
  <si>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</si>
  <si>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</si>
  <si>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</si>
  <si>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</si>
  <si>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</si>
  <si>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</si>
  <si>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</si>
  <si>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</si>
  <si>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</si>
  <si>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</si>
  <si>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</si>
  <si>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</si>
  <si>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</si>
  <si>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</si>
  <si>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</si>
  <si>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</si>
  <si>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</si>
  <si>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</si>
  <si>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</si>
  <si>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</si>
  <si>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</si>
  <si>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</si>
  <si>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</si>
  <si>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</si>
  <si>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</si>
  <si>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</si>
  <si>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</si>
  <si>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</si>
  <si>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</si>
  <si>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</si>
  <si>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</si>
  <si>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</si>
  <si>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</si>
  <si>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</si>
  <si>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</si>
  <si>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</si>
  <si>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</si>
  <si>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</si>
  <si>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</si>
  <si>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</si>
  <si>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</si>
  <si>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</si>
  <si>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</si>
  <si>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</si>
  <si>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</si>
  <si>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</si>
  <si>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</si>
  <si>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</si>
  <si>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</si>
  <si>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</si>
  <si>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</si>
  <si>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</si>
  <si>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</si>
  <si>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</si>
  <si>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</si>
  <si>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</si>
  <si>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</si>
  <si>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</si>
  <si>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</si>
  <si>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</si>
  <si>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</si>
  <si>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</si>
  <si>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</si>
  <si>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</si>
  <si>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</si>
  <si>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</si>
  <si>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</si>
  <si>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</si>
  <si>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</si>
  <si>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</si>
  <si>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</si>
  <si>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</si>
  <si>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</si>
  <si>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</si>
  <si>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</si>
  <si>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</si>
  <si>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</si>
  <si>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</si>
  <si>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</si>
  <si>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</si>
  <si>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</si>
  <si>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</si>
  <si>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</si>
  <si>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</si>
  <si>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</si>
  <si>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</si>
  <si>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</si>
  <si>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</si>
  <si>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</si>
  <si>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</si>
  <si>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</si>
  <si>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</si>
  <si>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</si>
  <si>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</si>
  <si>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</si>
  <si>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</si>
  <si>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</si>
  <si>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</si>
  <si>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</si>
  <si>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</si>
  <si>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</si>
  <si>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</si>
  <si>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</si>
  <si>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</si>
  <si>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</si>
  <si>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</si>
  <si>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</si>
  <si>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</si>
  <si>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</si>
  <si>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</si>
  <si>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</si>
  <si>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</si>
  <si>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</si>
  <si>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</si>
  <si>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</si>
  <si>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</si>
  <si>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</si>
  <si>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</si>
  <si>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</si>
  <si>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</si>
  <si>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</si>
  <si>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</si>
  <si>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</si>
  <si>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</si>
  <si>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</si>
  <si>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</si>
  <si>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</si>
  <si>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</si>
  <si>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</si>
  <si>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</si>
  <si>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</si>
  <si>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</si>
  <si>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</si>
  <si>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</si>
  <si>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</si>
  <si>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</si>
  <si>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</si>
  <si>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</si>
  <si>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</si>
  <si>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</si>
  <si>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</si>
  <si>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</si>
  <si>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</si>
  <si>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</si>
  <si>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</si>
  <si>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</si>
  <si>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</si>
  <si>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</si>
  <si>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</si>
  <si>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</si>
  <si>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</si>
  <si>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</si>
  <si>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</si>
  <si>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</si>
  <si>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</si>
  <si>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</si>
  <si>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</si>
  <si>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</si>
  <si>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</si>
  <si>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</si>
  <si>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</si>
  <si>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</si>
  <si>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</si>
  <si>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</si>
  <si>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</si>
  <si>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</si>
  <si>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</si>
  <si>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</si>
  <si>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</si>
  <si>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</si>
  <si>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</si>
  <si>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</si>
  <si>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</si>
  <si>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</si>
  <si>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</si>
  <si>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</si>
  <si>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</si>
  <si>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</si>
  <si>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</si>
  <si>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</si>
  <si>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</si>
  <si>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</si>
  <si>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</si>
  <si>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</si>
  <si>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</si>
  <si>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</si>
  <si>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</si>
  <si>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</si>
  <si>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</si>
  <si>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</si>
  <si>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</si>
  <si>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</si>
  <si>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</si>
  <si>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</si>
  <si>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</si>
  <si>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</si>
  <si>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</si>
  <si>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</si>
  <si>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</si>
  <si>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</si>
  <si>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</si>
  <si>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</si>
  <si>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</si>
  <si>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</si>
  <si>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</si>
  <si>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</si>
  <si>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</si>
  <si>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</si>
  <si>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</si>
  <si>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</si>
  <si>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</si>
  <si>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</si>
  <si>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</si>
  <si>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</si>
  <si>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</si>
  <si>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</si>
  <si>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</si>
  <si>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</si>
  <si>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</si>
  <si>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</si>
  <si>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</si>
  <si>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</si>
  <si>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</si>
  <si>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</si>
  <si>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</si>
  <si>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</si>
  <si>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</si>
  <si>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</si>
  <si>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</si>
  <si>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</si>
  <si>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</si>
  <si>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</si>
  <si>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</si>
  <si>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</si>
  <si>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</si>
  <si>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</si>
  <si>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</si>
  <si>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</si>
  <si>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</si>
  <si>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</si>
  <si>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</si>
  <si>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</si>
  <si>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</si>
  <si>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</si>
  <si>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</si>
  <si>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</si>
  <si>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</si>
  <si>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</si>
  <si>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</si>
  <si>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</si>
  <si>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</si>
  <si>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</si>
  <si>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</si>
  <si>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</si>
  <si>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</si>
  <si>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</si>
  <si>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</si>
  <si>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</si>
  <si>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</si>
  <si>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</si>
  <si>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</si>
  <si>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</si>
  <si>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</si>
  <si>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</si>
  <si>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</si>
  <si>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</si>
  <si>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</si>
  <si>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</si>
  <si>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</si>
  <si>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</si>
  <si>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</si>
  <si>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</si>
  <si>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</si>
  <si>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</si>
  <si>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</si>
  <si>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</si>
  <si>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</si>
  <si>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</si>
  <si>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</si>
  <si>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</si>
  <si>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</si>
  <si>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</si>
  <si>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</si>
  <si>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</si>
  <si>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</si>
  <si>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</si>
  <si>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</si>
  <si>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</si>
  <si>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</si>
  <si>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</si>
  <si>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</si>
  <si>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</si>
  <si>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</si>
  <si>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</si>
  <si>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</si>
  <si>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</si>
  <si>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</si>
  <si>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</si>
  <si>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</si>
  <si>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</si>
  <si>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</si>
  <si>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</si>
  <si>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</si>
  <si>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</si>
  <si>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</si>
  <si>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</si>
  <si>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</si>
  <si>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</si>
  <si>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</si>
  <si>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</si>
  <si>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</si>
  <si>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</si>
  <si>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</si>
  <si>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</si>
  <si>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</si>
  <si>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</si>
  <si>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</si>
  <si>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</si>
  <si>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</si>
  <si>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</si>
  <si>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</si>
  <si>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</si>
  <si>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</si>
  <si>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</si>
  <si>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</si>
  <si>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</si>
  <si>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</si>
  <si>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</si>
  <si>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</si>
  <si>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</si>
  <si>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</si>
  <si>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</si>
  <si>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</si>
  <si>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</si>
  <si>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</si>
  <si>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</si>
  <si>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</si>
  <si>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</si>
  <si>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</si>
  <si>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</si>
  <si>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</si>
  <si>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</si>
  <si>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</si>
  <si>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</si>
  <si>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</si>
  <si>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</si>
  <si>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</si>
  <si>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</si>
  <si>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</si>
  <si>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</si>
  <si>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</si>
  <si>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</si>
  <si>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</si>
  <si>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</si>
  <si>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</si>
  <si>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</si>
  <si>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</si>
  <si>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</si>
  <si>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</si>
  <si>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</si>
  <si>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</si>
  <si>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</si>
  <si>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</si>
  <si>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</si>
  <si>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</si>
  <si>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</si>
  <si>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</si>
  <si>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</si>
  <si>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</si>
  <si>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</si>
  <si>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</si>
  <si>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</si>
  <si>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</si>
  <si>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</si>
  <si>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</si>
  <si>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</si>
  <si>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</si>
  <si>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</si>
  <si>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</si>
  <si>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</si>
  <si>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</si>
  <si>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</si>
  <si>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</si>
  <si>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</si>
  <si>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</si>
  <si>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</si>
  <si>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</si>
  <si>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</si>
  <si>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</si>
  <si>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</si>
  <si>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</si>
  <si>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</si>
  <si>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</si>
  <si>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</si>
  <si>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</si>
  <si>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</si>
  <si>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</si>
  <si>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</si>
  <si>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</si>
  <si>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</si>
  <si>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</si>
  <si>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</si>
  <si>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</si>
  <si>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</si>
  <si>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</si>
  <si>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</si>
  <si>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</si>
  <si>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</si>
  <si>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</si>
  <si>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</si>
  <si>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</si>
  <si>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</si>
  <si>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</si>
  <si>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</si>
  <si>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</si>
  <si>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</si>
  <si>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</si>
  <si>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</si>
  <si>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</si>
  <si>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</si>
  <si>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</si>
  <si>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</si>
  <si>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</si>
  <si>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</si>
  <si>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</si>
  <si>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</si>
  <si>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</si>
  <si>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</si>
  <si>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</si>
  <si>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</si>
  <si>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</si>
  <si>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</si>
  <si>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</si>
  <si>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</si>
  <si>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</si>
  <si>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</si>
  <si>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</si>
  <si>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</si>
  <si>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</si>
  <si>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</si>
  <si>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</si>
  <si>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</si>
  <si>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</si>
  <si>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</si>
  <si>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</si>
  <si>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</si>
  <si>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</si>
  <si>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</si>
  <si>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</si>
  <si>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</si>
  <si>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</si>
  <si>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</si>
  <si>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</si>
  <si>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</si>
  <si>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</si>
  <si>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</si>
  <si>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</si>
  <si>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</si>
  <si>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</si>
  <si>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</si>
  <si>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</si>
  <si>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</si>
  <si>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</si>
  <si>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</si>
  <si>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</si>
  <si>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</si>
  <si>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</si>
  <si>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</si>
  <si>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</si>
  <si>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</si>
  <si>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</si>
  <si>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</si>
  <si>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</si>
  <si>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</si>
  <si>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</si>
  <si>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</si>
  <si>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</si>
  <si>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</si>
  <si>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</si>
  <si>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</si>
  <si>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</si>
  <si>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</si>
  <si>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</si>
  <si>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</si>
  <si>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</si>
  <si>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</si>
  <si>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</si>
  <si>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</si>
  <si>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</si>
  <si>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</si>
  <si>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</si>
  <si>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</si>
  <si>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</si>
  <si>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</si>
  <si>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</si>
  <si>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</si>
  <si>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</si>
  <si>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</si>
  <si>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</si>
  <si>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</si>
  <si>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</si>
  <si>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</si>
  <si>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</si>
  <si>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</si>
  <si>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</si>
  <si>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</si>
  <si>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</si>
  <si>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</si>
  <si>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</si>
  <si>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</si>
  <si>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</si>
  <si>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</si>
  <si>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</si>
  <si>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</si>
  <si>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</si>
  <si>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</si>
  <si>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</si>
  <si>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</si>
  <si>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</si>
  <si>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</si>
  <si>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</si>
  <si>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</si>
  <si>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</si>
  <si>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</si>
  <si>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</si>
  <si>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</si>
  <si>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</si>
  <si>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</si>
  <si>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</si>
  <si>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</si>
  <si>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</si>
  <si>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</si>
  <si>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</si>
  <si>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</si>
  <si>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</si>
  <si>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</si>
  <si>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</si>
  <si>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</si>
  <si>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</si>
  <si>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</si>
  <si>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</si>
  <si>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</si>
  <si>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</si>
  <si>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</si>
  <si>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</si>
  <si>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</si>
  <si>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</si>
  <si>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</si>
  <si>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</si>
  <si>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</si>
  <si>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</si>
  <si>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</si>
  <si>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</si>
  <si>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</si>
  <si>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</si>
  <si>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</si>
  <si>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</si>
  <si>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</si>
  <si>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</si>
  <si>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</si>
  <si>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</si>
  <si>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</si>
  <si>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</si>
  <si>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</si>
  <si>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</si>
  <si>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</si>
  <si>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</si>
  <si>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</si>
  <si>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</si>
  <si>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</si>
  <si>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</si>
  <si>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</si>
  <si>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</si>
  <si>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</si>
  <si>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</si>
  <si>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</si>
  <si>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</si>
  <si>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</si>
  <si>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</si>
  <si>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</si>
  <si>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</si>
  <si>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</si>
  <si>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</si>
  <si>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</si>
  <si>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</si>
  <si>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</si>
  <si>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</si>
  <si>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</si>
  <si>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</si>
  <si>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</si>
  <si>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</si>
  <si>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</si>
  <si>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</si>
  <si>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</si>
  <si>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</si>
  <si>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</si>
  <si>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</si>
  <si>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</si>
  <si>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</si>
  <si>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</si>
  <si>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</si>
  <si>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</si>
  <si>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</si>
  <si>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</si>
  <si>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</si>
  <si>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</si>
  <si>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</si>
  <si>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</si>
  <si>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</si>
  <si>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</si>
  <si>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</si>
  <si>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</si>
  <si>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</si>
  <si>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</si>
  <si>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</si>
  <si>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</si>
  <si>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</si>
  <si>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</si>
  <si>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</si>
  <si>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</si>
  <si>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</si>
  <si>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</si>
  <si>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</si>
  <si>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</si>
  <si>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</si>
  <si>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</si>
  <si>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</si>
  <si>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</si>
  <si>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</si>
  <si>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</si>
  <si>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</si>
  <si>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</si>
  <si>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</si>
  <si>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</si>
  <si>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</si>
  <si>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</si>
  <si>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</si>
  <si>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</si>
  <si>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</si>
  <si>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</si>
  <si>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</si>
  <si>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</si>
  <si>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</si>
  <si>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</si>
  <si>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</si>
  <si>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</si>
  <si>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</si>
  <si>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</si>
  <si>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</si>
  <si>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</si>
  <si>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</si>
  <si>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</si>
  <si>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</si>
  <si>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</si>
  <si>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</si>
  <si>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</si>
  <si>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</si>
  <si>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</si>
  <si>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</si>
  <si>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</si>
  <si>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</si>
  <si>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</si>
  <si>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</si>
  <si>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</si>
  <si>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</si>
  <si>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</si>
  <si>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</si>
  <si>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</si>
  <si>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</si>
  <si>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</si>
  <si>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</si>
  <si>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</si>
  <si>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</si>
  <si>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</si>
  <si>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</si>
  <si>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</si>
  <si>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</si>
  <si>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</si>
  <si>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</si>
  <si>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</si>
  <si>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</si>
  <si>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</si>
  <si>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</si>
  <si>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</si>
  <si>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</si>
  <si>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</si>
  <si>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</si>
  <si>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</si>
  <si>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</si>
  <si>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</si>
  <si>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</si>
  <si>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</si>
  <si>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</si>
  <si>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</si>
  <si>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</si>
  <si>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</si>
  <si>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</si>
  <si>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</si>
  <si>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</si>
  <si>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</si>
  <si>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</si>
  <si>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</si>
  <si>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</si>
  <si>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</si>
  <si>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</si>
  <si>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</si>
  <si>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</si>
  <si>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</si>
  <si>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</si>
  <si>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</si>
  <si>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</si>
  <si>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</si>
  <si>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</si>
  <si>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</si>
  <si>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</si>
  <si>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</si>
  <si>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</si>
  <si>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</si>
  <si>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</si>
  <si>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</si>
  <si>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</si>
  <si>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</si>
  <si>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</si>
  <si>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</si>
  <si>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</si>
  <si>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</si>
  <si>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</si>
  <si>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</si>
  <si>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</si>
  <si>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</si>
  <si>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</si>
  <si>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</si>
  <si>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</si>
  <si>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</si>
  <si>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</si>
  <si>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</si>
  <si>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</si>
  <si>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</si>
  <si>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</si>
  <si>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</si>
  <si>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</si>
  <si>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</si>
  <si>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</si>
  <si>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</si>
  <si>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</si>
  <si>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</si>
  <si>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</si>
  <si>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</si>
  <si>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</si>
  <si>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</si>
  <si>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</si>
  <si>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</si>
  <si>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</si>
  <si>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</si>
  <si>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</si>
  <si>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</si>
  <si>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</si>
  <si>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</si>
  <si>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</si>
  <si>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</si>
  <si>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</si>
  <si>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</si>
  <si>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</si>
  <si>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</si>
  <si>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</si>
  <si>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</si>
  <si>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</si>
  <si>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</si>
  <si>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</si>
  <si>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</si>
  <si>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</si>
  <si>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</si>
  <si>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</si>
  <si>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</si>
  <si>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</si>
  <si>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</si>
  <si>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</si>
  <si>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</si>
  <si>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</si>
  <si>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</si>
  <si>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</si>
  <si>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</si>
  <si>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</si>
  <si>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</si>
  <si>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</si>
  <si>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</si>
  <si>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</si>
  <si>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</si>
  <si>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</si>
  <si>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</si>
  <si>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</si>
  <si>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</si>
  <si>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</si>
  <si>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</si>
  <si>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</si>
  <si>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</si>
  <si>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</si>
  <si>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</si>
  <si>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</si>
  <si>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</si>
  <si>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</si>
  <si>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</si>
  <si>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</si>
  <si>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</si>
  <si>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</si>
  <si>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</si>
  <si>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</si>
  <si>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</si>
  <si>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</si>
  <si>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</si>
  <si>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</si>
  <si>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</si>
  <si>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</si>
  <si>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</si>
  <si>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</si>
  <si>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</si>
  <si>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</si>
  <si>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</si>
  <si>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</si>
  <si>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</si>
  <si>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</si>
  <si>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</si>
  <si>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</si>
  <si>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</si>
  <si>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</si>
  <si>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</si>
  <si>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</si>
  <si>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</si>
  <si>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</si>
  <si>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</si>
  <si>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</si>
  <si>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</si>
  <si>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</si>
  <si>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</si>
  <si>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</si>
  <si>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</si>
  <si>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</si>
  <si>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</si>
  <si>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</si>
  <si>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</si>
  <si>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</si>
  <si>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</si>
  <si>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</si>
  <si>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</si>
  <si>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</si>
  <si>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</si>
  <si>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</si>
  <si>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</si>
  <si>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</si>
  <si>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</si>
  <si>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</si>
  <si>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</si>
  <si>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</si>
  <si>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</si>
  <si>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</si>
  <si>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</si>
  <si>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</si>
  <si>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</si>
  <si>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</si>
  <si>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</si>
  <si>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</si>
  <si>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</si>
  <si>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</si>
  <si>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</si>
  <si>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</si>
  <si>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</si>
  <si>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</si>
  <si>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</si>
  <si>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</si>
  <si>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</si>
  <si>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</si>
  <si>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</si>
  <si>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</si>
  <si>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</si>
  <si>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</si>
  <si>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</si>
  <si>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</si>
  <si>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</si>
  <si>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</si>
  <si>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</si>
  <si>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</si>
  <si>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</si>
  <si>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</si>
  <si>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</si>
  <si>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</si>
  <si>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</si>
  <si>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</si>
  <si>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</si>
  <si>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</si>
  <si>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</si>
  <si>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</si>
  <si>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</si>
  <si>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</si>
  <si>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</si>
  <si>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</si>
  <si>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</si>
  <si>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</si>
  <si>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</si>
  <si>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</si>
  <si>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</si>
  <si>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</si>
  <si>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</si>
  <si>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</si>
  <si>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</si>
  <si>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</si>
  <si>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</si>
  <si>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</si>
  <si>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</si>
  <si>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</si>
  <si>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</si>
  <si>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</si>
  <si>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</si>
  <si>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</si>
  <si>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</si>
  <si>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</si>
  <si>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</si>
  <si>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</si>
  <si>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</si>
  <si>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</si>
  <si>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</si>
  <si>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</si>
  <si>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</si>
  <si>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</si>
  <si>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</si>
  <si>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</si>
  <si>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</si>
  <si>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</si>
  <si>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</si>
  <si>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</si>
  <si>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</si>
  <si>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</si>
  <si>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</si>
  <si>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</si>
  <si>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</si>
  <si>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</si>
  <si>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</si>
  <si>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</si>
  <si>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</si>
  <si>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</si>
  <si>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</si>
  <si>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</si>
  <si>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</si>
  <si>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</si>
  <si>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</si>
  <si>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</si>
  <si>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</si>
  <si>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</si>
  <si>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</si>
  <si>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</si>
  <si>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</si>
  <si>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</si>
  <si>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</si>
  <si>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</si>
  <si>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</si>
  <si>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</si>
  <si>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</si>
  <si>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</si>
  <si>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</si>
  <si>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</si>
  <si>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</si>
  <si>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</si>
  <si>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</si>
  <si>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</si>
  <si>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</si>
  <si>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</si>
  <si>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</si>
  <si>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</si>
  <si>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</si>
  <si>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</si>
  <si>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</si>
  <si>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</si>
  <si>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</si>
  <si>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</si>
  <si>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</si>
  <si>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</si>
  <si>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</si>
  <si>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</si>
  <si>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</si>
  <si>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</si>
  <si>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</si>
  <si>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</si>
  <si>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</si>
  <si>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</si>
  <si>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</si>
  <si>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</si>
  <si>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</si>
  <si>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</si>
  <si>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</si>
  <si>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</si>
  <si>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</si>
  <si>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</si>
  <si>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</si>
  <si>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</si>
  <si>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</si>
  <si>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</si>
  <si>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</si>
  <si>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</si>
  <si>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</si>
  <si>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</si>
  <si>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</si>
  <si>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</si>
  <si>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</si>
  <si>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</si>
  <si>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</si>
  <si>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</si>
  <si>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</si>
  <si>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</si>
  <si>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</si>
  <si>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</si>
  <si>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</si>
  <si>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</si>
  <si>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</si>
  <si>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</si>
  <si>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</si>
  <si>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</si>
  <si>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</si>
  <si>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</si>
  <si>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</si>
  <si>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</si>
  <si>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</si>
  <si>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</si>
  <si>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</si>
  <si>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</si>
  <si>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</si>
  <si>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</si>
  <si>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</si>
  <si>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</si>
  <si>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</si>
  <si>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</si>
  <si>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</si>
  <si>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</si>
  <si>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</si>
  <si>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</si>
  <si>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</si>
  <si>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</si>
  <si>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</si>
  <si>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</si>
  <si>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</si>
  <si>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</si>
  <si>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</si>
  <si>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</si>
  <si>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</si>
  <si>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</si>
  <si>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</si>
  <si>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</si>
  <si>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</si>
  <si>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</si>
  <si>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</si>
  <si>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</si>
  <si>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</si>
  <si>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</si>
  <si>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</si>
  <si>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</si>
  <si>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</si>
  <si>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</si>
  <si>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</si>
  <si>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</si>
  <si>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</si>
  <si>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</si>
  <si>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</si>
  <si>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</si>
  <si>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</si>
  <si>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</si>
  <si>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</si>
  <si>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</si>
  <si>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</si>
  <si>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</si>
  <si>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</si>
  <si>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</si>
  <si>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</si>
  <si>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</si>
  <si>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</si>
  <si>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</si>
  <si>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</si>
  <si>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</si>
  <si>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</si>
  <si>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</si>
  <si>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</si>
  <si>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</si>
  <si>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</si>
  <si>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</si>
  <si>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</si>
  <si>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</si>
  <si>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</si>
  <si>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</si>
  <si>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</si>
  <si>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</si>
  <si>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</si>
  <si>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</si>
  <si>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</si>
  <si>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</si>
  <si>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</si>
  <si>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</si>
  <si>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</si>
  <si>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</si>
  <si>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</si>
  <si>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</si>
  <si>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</si>
  <si>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</si>
  <si>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</si>
  <si>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</si>
  <si>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</si>
  <si>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</si>
  <si>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</si>
  <si>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</si>
  <si>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</si>
  <si>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</si>
  <si>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</si>
  <si>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</si>
  <si>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</si>
  <si>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</si>
  <si>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</si>
  <si>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</si>
  <si>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</si>
  <si>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</si>
  <si>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</si>
  <si>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</si>
  <si>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</si>
  <si>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</si>
  <si>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</si>
  <si>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</si>
  <si>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</si>
  <si>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</si>
  <si>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</si>
  <si>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</si>
  <si>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</si>
  <si>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</si>
  <si>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</si>
  <si>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</si>
  <si>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</si>
  <si>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</si>
  <si>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</si>
  <si>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</si>
  <si>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</si>
  <si>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</si>
  <si>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</si>
  <si>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</si>
  <si>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</si>
  <si>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</si>
  <si>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</si>
  <si>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</si>
  <si>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</si>
  <si>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</si>
  <si>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</si>
  <si>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</si>
  <si>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</si>
  <si>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</si>
  <si>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</si>
  <si>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</si>
  <si>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</si>
  <si>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</si>
  <si>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</si>
  <si>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</si>
  <si>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</si>
  <si>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</si>
  <si>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</si>
  <si>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</si>
  <si>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</si>
  <si>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</si>
  <si>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</si>
  <si>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</si>
  <si>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</si>
  <si>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</si>
  <si>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</si>
  <si>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</si>
  <si>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</si>
  <si>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</si>
  <si>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</si>
  <si>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</si>
  <si>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</si>
  <si>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</si>
  <si>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</si>
  <si>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</si>
  <si>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</si>
  <si>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</si>
  <si>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</si>
  <si>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</si>
  <si>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</si>
  <si>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</si>
  <si>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</si>
  <si>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</si>
  <si>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</si>
  <si>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</si>
  <si>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</si>
  <si>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</si>
  <si>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</si>
  <si>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</si>
  <si>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</si>
  <si>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</si>
  <si>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</si>
  <si>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</si>
  <si>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</si>
  <si>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</si>
  <si>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</si>
  <si>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</si>
  <si>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</si>
  <si>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</si>
  <si>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</si>
  <si>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</si>
  <si>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</si>
  <si>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</si>
  <si>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</si>
  <si>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</si>
  <si>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</si>
  <si>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</si>
  <si>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</si>
  <si>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</si>
  <si>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</si>
  <si>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</si>
  <si>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</si>
  <si>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</si>
  <si>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</si>
  <si>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</si>
  <si>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</si>
  <si>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</si>
  <si>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</si>
  <si>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</si>
  <si>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</si>
  <si>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</si>
  <si>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</si>
  <si>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</si>
  <si>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</si>
  <si>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</si>
  <si>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</si>
  <si>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</si>
  <si>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</si>
  <si>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</si>
  <si>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</si>
  <si>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</si>
  <si>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</si>
  <si>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</si>
  <si>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</si>
  <si>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</si>
  <si>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</si>
  <si>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</si>
  <si>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</si>
  <si>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</si>
  <si>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</si>
  <si>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</si>
  <si>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</si>
  <si>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</si>
  <si>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</si>
  <si>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</si>
  <si>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</si>
  <si>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</si>
  <si>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</si>
  <si>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</si>
  <si>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</si>
  <si>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</si>
  <si>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</si>
  <si>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</si>
  <si>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</si>
  <si>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</si>
  <si>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</si>
  <si>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</si>
  <si>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</si>
  <si>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</si>
  <si>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</si>
  <si>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</si>
  <si>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</si>
  <si>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</si>
  <si>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</si>
  <si>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</si>
  <si>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</si>
  <si>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</si>
  <si>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</si>
  <si>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</si>
  <si>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</si>
  <si>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</si>
  <si>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</si>
  <si>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</si>
  <si>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</si>
  <si>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</si>
  <si>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</si>
  <si>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</si>
  <si>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</si>
  <si>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</si>
  <si>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</si>
  <si>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</si>
  <si>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</si>
  <si>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</si>
  <si>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</si>
  <si>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</si>
  <si>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</si>
  <si>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</si>
  <si>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</si>
  <si>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</si>
  <si>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</si>
  <si>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</si>
  <si>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</si>
  <si>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</si>
  <si>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</si>
  <si>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</si>
  <si>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</si>
  <si>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</si>
  <si>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</si>
  <si>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</si>
  <si>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</si>
  <si>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</si>
  <si>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</si>
  <si>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</si>
  <si>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</si>
  <si>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</si>
  <si>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</si>
  <si>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</si>
  <si>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</si>
  <si>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</si>
  <si>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</si>
  <si>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</si>
  <si>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</si>
  <si>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</si>
  <si>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</si>
  <si>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</si>
  <si>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</si>
  <si>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</si>
  <si>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</si>
  <si>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</si>
  <si>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</si>
  <si>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</si>
  <si>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</si>
  <si>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</si>
  <si>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</si>
  <si>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</si>
  <si>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</si>
  <si>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</si>
  <si>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</si>
  <si>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</si>
  <si>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</si>
  <si>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</si>
  <si>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</si>
  <si>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</si>
  <si>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</si>
  <si>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</si>
  <si>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</si>
  <si>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</si>
  <si>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</si>
  <si>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</si>
  <si>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</si>
  <si>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</si>
  <si>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</si>
  <si>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</si>
  <si>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</si>
  <si>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</si>
  <si>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</si>
  <si>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</si>
  <si>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</si>
  <si>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</si>
  <si>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</si>
  <si>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</si>
  <si>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</si>
  <si>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</si>
  <si>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</si>
  <si>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</si>
  <si>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</si>
  <si>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</si>
  <si>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</si>
  <si>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</si>
  <si>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</si>
  <si>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</si>
  <si>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</si>
  <si>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</si>
  <si>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</si>
  <si>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</si>
  <si>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</si>
  <si>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</si>
  <si>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</si>
  <si>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</si>
  <si>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</si>
  <si>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</si>
  <si>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</si>
  <si>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</si>
  <si>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</si>
  <si>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</si>
  <si>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</si>
  <si>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</si>
  <si>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</si>
  <si>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</si>
  <si>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</si>
  <si>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</si>
  <si>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</si>
  <si>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</si>
  <si>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</si>
  <si>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</si>
  <si>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</si>
  <si>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</si>
  <si>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</si>
  <si>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</si>
  <si>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</si>
  <si>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</si>
  <si>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</si>
  <si>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</si>
  <si>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</si>
  <si>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</si>
  <si>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</si>
  <si>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</si>
  <si>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</si>
  <si>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</si>
  <si>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</si>
  <si>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</si>
  <si>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</si>
  <si>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</si>
  <si>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</si>
  <si>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</si>
  <si>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</si>
  <si>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</si>
  <si>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</si>
  <si>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</si>
  <si>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</si>
  <si>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</si>
  <si>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</si>
  <si>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</si>
  <si>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</si>
  <si>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</si>
  <si>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</si>
  <si>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</si>
  <si>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</si>
  <si>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</si>
  <si>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</si>
  <si>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</si>
  <si>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</si>
  <si>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</si>
  <si>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</si>
  <si>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</si>
  <si>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</si>
  <si>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</si>
  <si>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</si>
  <si>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</si>
  <si>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</si>
  <si>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</si>
  <si>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</si>
  <si>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</si>
  <si>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</si>
  <si>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</si>
  <si>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</si>
  <si>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</si>
  <si>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</si>
  <si>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</si>
  <si>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</si>
  <si>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</si>
  <si>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</si>
  <si>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</si>
  <si>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</si>
  <si>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</si>
  <si>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</si>
  <si>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</si>
  <si>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</si>
  <si>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</si>
  <si>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</si>
  <si>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</si>
  <si>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</si>
  <si>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</si>
  <si>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</si>
  <si>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</si>
  <si>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</si>
  <si>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</si>
  <si>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</si>
  <si>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</si>
  <si>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</si>
  <si>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</si>
  <si>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</si>
  <si>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</si>
  <si>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</si>
  <si>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</si>
  <si>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</si>
  <si>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</si>
  <si>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</si>
  <si>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</si>
  <si>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</si>
  <si>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</si>
  <si>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</si>
  <si>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</si>
  <si>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</si>
  <si>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</si>
  <si>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</si>
  <si>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</si>
  <si>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</si>
  <si>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</si>
  <si>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</si>
  <si>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</si>
  <si>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</si>
  <si>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</si>
  <si>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</si>
  <si>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</si>
  <si>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</si>
  <si>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</si>
  <si>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</si>
  <si>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</si>
  <si>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</si>
  <si>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</si>
  <si>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</si>
  <si>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</si>
  <si>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</si>
  <si>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</si>
  <si>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</si>
  <si>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</si>
  <si>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</si>
  <si>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</si>
  <si>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</si>
  <si>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</si>
  <si>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</si>
  <si>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</si>
  <si>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</si>
  <si>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</si>
  <si>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</si>
  <si>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</si>
  <si>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</si>
  <si>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</si>
  <si>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</si>
  <si>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</si>
  <si>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</si>
  <si>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</si>
  <si>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</si>
  <si>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</si>
  <si>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</si>
  <si>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</si>
  <si>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</si>
  <si>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</si>
  <si>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</si>
  <si>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</si>
  <si>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</si>
  <si>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</si>
  <si>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</si>
  <si>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</si>
  <si>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</si>
  <si>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</si>
  <si>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</si>
  <si>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</si>
  <si>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</si>
  <si>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</si>
  <si>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</si>
  <si>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</si>
  <si>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</si>
  <si>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</si>
  <si>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</si>
  <si>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</si>
  <si>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</si>
  <si>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</si>
  <si>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</si>
  <si>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</si>
  <si>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</si>
  <si>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</si>
  <si>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</si>
  <si>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</si>
  <si>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</si>
  <si>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</si>
  <si>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</si>
  <si>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</si>
  <si>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</si>
  <si>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</si>
  <si>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</si>
  <si>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</si>
  <si>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</si>
  <si>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</si>
  <si>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</si>
  <si>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</si>
  <si>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</si>
  <si>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</si>
  <si>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</si>
  <si>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</si>
  <si>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</si>
  <si>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</si>
  <si>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</si>
  <si>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</si>
  <si>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</si>
  <si>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</si>
  <si>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</si>
  <si>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</si>
  <si>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</si>
  <si>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</si>
  <si>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</si>
  <si>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</si>
  <si>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</si>
  <si>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</si>
  <si>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</si>
  <si>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</si>
  <si>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</si>
  <si>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</si>
  <si>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</si>
  <si>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</si>
  <si>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</si>
  <si>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</si>
  <si>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</si>
  <si>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</si>
  <si>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</si>
  <si>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</si>
  <si>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</si>
  <si>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</si>
  <si>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</si>
  <si>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</si>
  <si>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</si>
  <si>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</si>
  <si>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</si>
  <si>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</si>
  <si>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</si>
  <si>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</si>
  <si>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</si>
  <si>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</si>
  <si>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</si>
  <si>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</si>
  <si>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</si>
  <si>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</si>
  <si>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</si>
  <si>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</si>
  <si>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</si>
  <si>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</si>
  <si>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</si>
  <si>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</si>
  <si>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</si>
  <si>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</si>
  <si>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</si>
  <si>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</si>
  <si>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</si>
  <si>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</si>
  <si>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</si>
  <si>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</si>
  <si>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</si>
  <si>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</si>
  <si>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</si>
  <si>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</si>
  <si>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</si>
  <si>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</si>
  <si>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</si>
  <si>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</si>
  <si>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</si>
  <si>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</si>
  <si>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</si>
  <si>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</si>
  <si>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</si>
  <si>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</si>
  <si>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</si>
  <si>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</si>
  <si>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</si>
  <si>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</si>
  <si>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</si>
  <si>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</si>
  <si>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</si>
  <si>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</si>
  <si>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</si>
  <si>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</si>
  <si>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</si>
  <si>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</si>
  <si>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</si>
  <si>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</si>
  <si>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</si>
  <si>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</si>
  <si>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</si>
  <si>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</si>
  <si>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</si>
  <si>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</si>
  <si>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</si>
  <si>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</si>
  <si>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</si>
  <si>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</si>
  <si>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</si>
  <si>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</si>
  <si>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</si>
  <si>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</si>
  <si>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</si>
  <si>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</si>
  <si>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</si>
  <si>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</si>
  <si>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</si>
  <si>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</si>
  <si>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</si>
  <si>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</si>
  <si>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</si>
  <si>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</si>
  <si>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</si>
  <si>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</si>
  <si>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</si>
  <si>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</si>
  <si>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</si>
  <si>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</si>
  <si>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</si>
  <si>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</si>
  <si>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</si>
  <si>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</si>
  <si>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</si>
  <si>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</si>
  <si>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</si>
  <si>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</si>
  <si>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</si>
  <si>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</si>
  <si>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</si>
  <si>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</si>
  <si>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</si>
  <si>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</si>
  <si>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</si>
  <si>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</si>
  <si>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</si>
  <si>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</si>
  <si>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</si>
  <si>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</si>
  <si>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</si>
  <si>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</si>
  <si>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</si>
  <si>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</si>
  <si>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</si>
  <si>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</si>
  <si>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</si>
  <si>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</si>
  <si>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</si>
  <si>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</si>
  <si>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</si>
  <si>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</si>
  <si>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</si>
  <si>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</si>
  <si>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</si>
  <si>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</si>
  <si>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</si>
  <si>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</si>
  <si>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</si>
  <si>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</si>
  <si>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</si>
  <si>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</si>
  <si>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</si>
  <si>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</si>
  <si>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</si>
  <si>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</si>
  <si>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</si>
  <si>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</si>
  <si>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</si>
  <si>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</si>
  <si>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</si>
  <si>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</si>
  <si>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</si>
  <si>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</si>
  <si>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</si>
  <si>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</si>
  <si>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</si>
  <si>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</si>
  <si>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</si>
  <si>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</si>
  <si>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</si>
  <si>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</si>
  <si>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</si>
  <si>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</si>
  <si>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</si>
  <si>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</si>
  <si>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</si>
  <si>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</si>
  <si>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</si>
  <si>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</si>
  <si>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</si>
  <si>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</si>
  <si>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</si>
  <si>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</si>
  <si>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</si>
  <si>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</si>
  <si>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</si>
  <si>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</si>
  <si>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</si>
  <si>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</si>
  <si>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</si>
  <si>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</si>
  <si>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</si>
  <si>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</si>
  <si>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</si>
  <si>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</si>
  <si>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</si>
  <si>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</si>
  <si>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</si>
  <si>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</si>
  <si>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</si>
  <si>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</si>
  <si>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</si>
  <si>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</si>
  <si>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</si>
  <si>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</si>
  <si>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</si>
  <si>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</si>
  <si>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</si>
  <si>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</si>
  <si>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</si>
  <si>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</si>
  <si>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</si>
  <si>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</si>
  <si>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</si>
  <si>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</si>
  <si>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</si>
  <si>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</si>
  <si>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</si>
  <si>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</si>
  <si>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</si>
  <si>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</si>
  <si>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</si>
  <si>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</si>
  <si>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</si>
  <si>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</si>
  <si>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</si>
  <si>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</si>
  <si>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</si>
  <si>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</si>
  <si>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</si>
  <si>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</si>
  <si>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</si>
  <si>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</si>
  <si>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</si>
  <si>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</si>
  <si>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</si>
  <si>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</si>
  <si>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</si>
  <si>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</si>
  <si>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</si>
  <si>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</si>
  <si>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</si>
  <si>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</si>
  <si>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</si>
  <si>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</si>
  <si>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</si>
  <si>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</si>
  <si>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</si>
  <si>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</si>
  <si>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</si>
  <si>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</si>
  <si>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</si>
  <si>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</si>
  <si>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</si>
  <si>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</si>
  <si>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</si>
  <si>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</si>
  <si>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</si>
  <si>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</si>
  <si>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</si>
  <si>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</si>
  <si>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</si>
  <si>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</si>
  <si>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</si>
  <si>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</si>
  <si>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</si>
  <si>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</si>
  <si>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</si>
  <si>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</si>
  <si>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</si>
  <si>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</si>
  <si>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</si>
  <si>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</si>
  <si>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</si>
  <si>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</si>
  <si>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</si>
  <si>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</si>
  <si>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</si>
  <si>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</si>
  <si>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</si>
  <si>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</si>
  <si>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</si>
  <si>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</si>
  <si>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</si>
  <si>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</si>
  <si>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</si>
  <si>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</si>
  <si>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</si>
  <si>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</si>
  <si>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</si>
  <si>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</si>
  <si>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</si>
  <si>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</si>
  <si>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</si>
  <si>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</si>
  <si>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</si>
  <si>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</si>
  <si>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</si>
  <si>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</si>
  <si>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</si>
  <si>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</si>
  <si>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</si>
  <si>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</si>
  <si>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</si>
  <si>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</si>
  <si>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</si>
  <si>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</si>
  <si>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</si>
  <si>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</si>
  <si>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</si>
  <si>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</si>
  <si>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</si>
  <si>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</si>
  <si>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</si>
  <si>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</si>
  <si>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</si>
  <si>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</si>
  <si>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</si>
  <si>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</si>
  <si>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</si>
  <si>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</si>
  <si>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</si>
  <si>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</si>
  <si>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</si>
  <si>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</si>
  <si>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</si>
  <si>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</si>
  <si>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</si>
  <si>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</si>
  <si>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</si>
  <si>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</si>
  <si>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</si>
  <si>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</si>
  <si>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</si>
  <si>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</si>
  <si>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</si>
  <si>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</si>
  <si>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</si>
  <si>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</si>
  <si>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</si>
  <si>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</si>
  <si>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</si>
  <si>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</si>
  <si>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</si>
  <si>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</si>
  <si>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</si>
  <si>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</si>
  <si>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</si>
  <si>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</si>
  <si>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</si>
  <si>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</si>
  <si>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</si>
  <si>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</si>
  <si>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</si>
  <si>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</si>
  <si>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</si>
  <si>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</si>
  <si>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</si>
  <si>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</si>
  <si>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</si>
  <si>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</si>
  <si>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</si>
  <si>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</si>
  <si>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</si>
  <si>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</si>
  <si>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</si>
  <si>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</si>
  <si>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</si>
  <si>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</si>
  <si>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</si>
  <si>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</si>
  <si>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</si>
  <si>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</si>
  <si>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</si>
  <si>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</si>
  <si>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</si>
  <si>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</si>
  <si>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</si>
  <si>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</si>
  <si>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</si>
  <si>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</si>
  <si>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</si>
  <si>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</si>
  <si>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</si>
  <si>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</si>
  <si>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</si>
  <si>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</si>
  <si>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</si>
  <si>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</si>
  <si>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</si>
  <si>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</si>
  <si>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</si>
  <si>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</si>
  <si>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</si>
  <si>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</si>
  <si>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</si>
  <si>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</si>
  <si>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</si>
  <si>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</si>
  <si>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</si>
  <si>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</si>
  <si>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</si>
  <si>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</si>
  <si>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</si>
  <si>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</si>
  <si>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</si>
  <si>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</si>
  <si>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</si>
  <si>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</si>
  <si>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</si>
  <si>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</si>
  <si>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</si>
  <si>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</si>
  <si>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</si>
  <si>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</si>
  <si>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</si>
  <si>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</si>
  <si>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</si>
  <si>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</si>
  <si>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</si>
  <si>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</si>
  <si>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</si>
  <si>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</si>
  <si>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</si>
  <si>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</si>
  <si>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</si>
  <si>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</si>
  <si>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</si>
  <si>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</si>
  <si>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</si>
  <si>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</si>
  <si>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</si>
  <si>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</si>
  <si>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</si>
  <si>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</si>
  <si>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</si>
  <si>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</si>
  <si>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</si>
  <si>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</si>
  <si>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</si>
  <si>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</si>
  <si>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</si>
  <si>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</si>
  <si>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</si>
  <si>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</si>
  <si>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</si>
  <si>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</si>
  <si>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</si>
  <si>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</si>
  <si>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</si>
  <si>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</si>
  <si>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</si>
  <si>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</si>
  <si>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</si>
  <si>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</si>
  <si>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</si>
  <si>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</si>
  <si>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</si>
  <si>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</si>
  <si>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</si>
  <si>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</si>
  <si>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</si>
  <si>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</si>
  <si>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</si>
  <si>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</si>
  <si>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</si>
  <si>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</si>
  <si>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</si>
  <si>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</si>
  <si>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</si>
  <si>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</si>
  <si>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</si>
  <si>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</si>
  <si>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</si>
  <si>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</si>
  <si>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</si>
  <si>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</si>
  <si>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</si>
  <si>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</si>
  <si>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</si>
  <si>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</si>
  <si>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</si>
  <si>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</si>
  <si>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</si>
  <si>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</si>
  <si>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</si>
  <si>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</si>
  <si>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</si>
  <si>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</si>
  <si>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</si>
  <si>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</si>
  <si>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</si>
  <si>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</si>
  <si>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</si>
  <si>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</si>
  <si>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</si>
  <si>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</si>
  <si>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</si>
  <si>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</si>
  <si>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</si>
  <si>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</si>
  <si>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</si>
  <si>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</si>
  <si>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</si>
  <si>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</si>
  <si>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</si>
  <si>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</si>
  <si>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</si>
  <si>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</si>
  <si>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</si>
  <si>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</si>
  <si>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</si>
  <si>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</si>
  <si>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</si>
  <si>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</si>
  <si>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</si>
  <si>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</si>
  <si>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</si>
  <si>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</si>
  <si>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</si>
  <si>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</si>
  <si>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</si>
  <si>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</si>
  <si>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</si>
  <si>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</si>
  <si>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</si>
  <si>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</si>
  <si>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</si>
  <si>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</si>
  <si>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</si>
  <si>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</si>
  <si>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</si>
  <si>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</si>
  <si>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</si>
  <si>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</si>
  <si>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</si>
  <si>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</si>
  <si>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</si>
  <si>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</si>
  <si>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</si>
  <si>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</si>
  <si>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</si>
  <si>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</si>
  <si>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</si>
  <si>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</si>
  <si>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</si>
  <si>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</si>
  <si>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</si>
  <si>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</si>
  <si>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</si>
  <si>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</si>
  <si>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</si>
  <si>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</si>
  <si>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</si>
  <si>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</si>
  <si>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</si>
  <si>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</si>
  <si>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</si>
  <si>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</si>
  <si>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</si>
  <si>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</si>
  <si>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</si>
  <si>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</si>
  <si>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</si>
  <si>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</si>
  <si>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</si>
  <si>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</si>
  <si>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</si>
  <si>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</si>
  <si>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</si>
  <si>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</si>
  <si>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</si>
  <si>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</si>
  <si>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</si>
  <si>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</si>
  <si>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</si>
  <si>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</si>
  <si>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</si>
  <si>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</si>
  <si>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</si>
  <si>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</si>
  <si>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</si>
  <si>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</si>
  <si>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</si>
  <si>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</si>
  <si>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</si>
  <si>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</si>
  <si>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</si>
  <si>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</si>
  <si>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</si>
  <si>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</si>
  <si>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</si>
  <si>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</si>
  <si>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</si>
  <si>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</si>
  <si>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</si>
  <si>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</si>
  <si>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</si>
  <si>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</si>
  <si>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</si>
  <si>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</si>
  <si>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</si>
  <si>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</si>
  <si>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</si>
  <si>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</si>
  <si>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</si>
  <si>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</si>
  <si>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</si>
  <si>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</si>
  <si>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</si>
  <si>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</si>
  <si>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</si>
  <si>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</si>
  <si>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</si>
  <si>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</si>
  <si>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</si>
  <si>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</si>
  <si>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</si>
  <si>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</si>
  <si>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</si>
  <si>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</si>
  <si>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</si>
  <si>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</si>
  <si>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</si>
  <si>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</si>
  <si>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</si>
  <si>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</si>
  <si>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</si>
  <si>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</si>
  <si>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</si>
  <si>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</si>
  <si>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</si>
  <si>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</si>
  <si>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</si>
  <si>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</si>
  <si>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</si>
  <si>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</si>
  <si>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</si>
  <si>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</si>
  <si>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</si>
  <si>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</si>
  <si>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</si>
  <si>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</si>
  <si>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</si>
  <si>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</si>
  <si>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</si>
  <si>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</si>
  <si>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</si>
  <si>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</si>
  <si>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</si>
  <si>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</si>
  <si>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</si>
  <si>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</si>
  <si>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</si>
  <si>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</si>
  <si>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</si>
  <si>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</si>
  <si>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</si>
  <si>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</si>
  <si>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</si>
  <si>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</si>
  <si>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</si>
  <si>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</si>
  <si>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</si>
  <si>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</si>
  <si>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</si>
  <si>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</si>
  <si>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</si>
  <si>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</si>
  <si>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</si>
  <si>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</si>
  <si>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</si>
  <si>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</si>
  <si>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</si>
  <si>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</si>
  <si>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</si>
  <si>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</si>
  <si>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</si>
  <si>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</si>
  <si>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</si>
  <si>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</si>
  <si>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</si>
  <si>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</si>
  <si>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</si>
  <si>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</si>
  <si>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</si>
  <si>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</si>
  <si>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</si>
  <si>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</si>
  <si>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</si>
  <si>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</si>
  <si>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</si>
  <si>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</si>
  <si>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</si>
  <si>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</si>
  <si>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</si>
  <si>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</si>
  <si>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</si>
  <si>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</si>
  <si>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</si>
  <si>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</si>
  <si>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</si>
  <si>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</si>
  <si>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</si>
  <si>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</si>
  <si>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</si>
  <si>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</si>
  <si>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</si>
  <si>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</si>
  <si>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</si>
  <si>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</si>
  <si>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</si>
  <si>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</si>
  <si>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</si>
  <si>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</si>
  <si>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</si>
  <si>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</si>
  <si>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</si>
  <si>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</si>
  <si>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</si>
  <si>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</si>
  <si>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</si>
  <si>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</si>
  <si>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</si>
  <si>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</si>
  <si>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</si>
  <si>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</si>
  <si>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</si>
  <si>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</si>
  <si>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</si>
  <si>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</si>
  <si>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</si>
  <si>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</si>
  <si>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</si>
  <si>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</si>
  <si>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</si>
  <si>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</si>
  <si>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</si>
  <si>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</si>
  <si>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</si>
  <si>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</si>
  <si>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</si>
  <si>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</si>
  <si>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</si>
  <si>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</si>
  <si>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</si>
  <si>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</si>
  <si>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</si>
  <si>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</si>
  <si>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</si>
  <si>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</si>
  <si>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</si>
  <si>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</si>
  <si>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</si>
  <si>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</si>
  <si>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</si>
  <si>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</si>
  <si>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</si>
  <si>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</si>
  <si>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</si>
  <si>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</si>
  <si>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</si>
  <si>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</si>
  <si>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</si>
  <si>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</si>
  <si>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</si>
  <si>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</si>
  <si>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</si>
  <si>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</si>
  <si>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</si>
  <si>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</si>
  <si>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</si>
  <si>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</si>
  <si>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</si>
  <si>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</si>
  <si>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</si>
  <si>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</si>
  <si>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</si>
  <si>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</si>
  <si>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</si>
  <si>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</si>
  <si>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</si>
  <si>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</si>
  <si>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</si>
  <si>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</si>
  <si>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</si>
  <si>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</si>
  <si>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</si>
  <si>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</si>
  <si>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</si>
  <si>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</si>
  <si>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</si>
  <si>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</si>
  <si>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</si>
  <si>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</si>
  <si>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</si>
  <si>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</si>
  <si>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</si>
  <si>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</si>
  <si>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</si>
  <si>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</si>
  <si>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</si>
  <si>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</si>
  <si>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</si>
  <si>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</si>
  <si>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</si>
  <si>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</si>
  <si>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</si>
  <si>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</si>
  <si>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</si>
  <si>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</si>
  <si>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</si>
  <si>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</si>
  <si>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</si>
  <si>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</si>
  <si>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</si>
  <si>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</si>
  <si>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</si>
  <si>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</si>
  <si>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</si>
  <si>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</si>
  <si>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</si>
  <si>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</si>
  <si>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</si>
  <si>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</si>
  <si>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</si>
  <si>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</si>
  <si>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</si>
  <si>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</si>
  <si>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</si>
  <si>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</si>
  <si>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</si>
  <si>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</si>
  <si>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</si>
  <si>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</si>
  <si>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</si>
  <si>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</si>
  <si>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</si>
  <si>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</si>
  <si>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</si>
  <si>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</si>
  <si>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</si>
  <si>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</si>
  <si>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</si>
  <si>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</si>
  <si>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</si>
  <si>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</si>
  <si>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</si>
  <si>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</si>
  <si>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</si>
  <si>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</si>
  <si>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</si>
  <si>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</si>
  <si>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</si>
  <si>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</si>
  <si>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</si>
  <si>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</si>
  <si>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</si>
  <si>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</si>
  <si>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</si>
  <si>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</si>
  <si>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</si>
  <si>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</si>
  <si>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</si>
  <si>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</si>
  <si>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</si>
  <si>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</si>
  <si>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</si>
  <si>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</si>
  <si>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</si>
  <si>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</si>
  <si>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</si>
  <si>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</si>
  <si>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</si>
  <si>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</si>
  <si>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</si>
  <si>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</si>
  <si>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</si>
  <si>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</si>
  <si>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</si>
  <si>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</si>
  <si>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</si>
  <si>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</si>
  <si>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</si>
  <si>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</si>
  <si>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</si>
  <si>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</si>
  <si>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</si>
  <si>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</si>
  <si>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</si>
  <si>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</si>
  <si>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</si>
  <si>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</si>
  <si>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</si>
  <si>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</si>
  <si>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</si>
  <si>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</si>
  <si>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</si>
  <si>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</si>
  <si>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</si>
  <si>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</si>
  <si>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</si>
  <si>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</si>
  <si>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</si>
  <si>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</si>
  <si>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</si>
  <si>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</si>
  <si>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</si>
  <si>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</si>
  <si>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</si>
  <si>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</si>
  <si>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</si>
  <si>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</si>
  <si>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</si>
  <si>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</si>
  <si>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</si>
  <si>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</si>
  <si>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</si>
  <si>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</si>
  <si>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</si>
  <si>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</si>
  <si>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</si>
  <si>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</si>
  <si>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</si>
  <si>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</si>
  <si>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</si>
  <si>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</si>
  <si>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</si>
  <si>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</si>
  <si>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</si>
  <si>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</si>
  <si>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</si>
  <si>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</si>
  <si>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</si>
  <si>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</si>
  <si>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</si>
  <si>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</si>
  <si>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</si>
  <si>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</si>
  <si>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</si>
  <si>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</si>
  <si>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</si>
  <si>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</si>
  <si>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</si>
  <si>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</si>
  <si>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</si>
  <si>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</si>
  <si>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</si>
  <si>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</si>
  <si>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</si>
  <si>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</si>
  <si>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</si>
  <si>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</si>
  <si>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</si>
  <si>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</si>
  <si>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</si>
  <si>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</si>
  <si>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</si>
  <si>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</si>
  <si>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</si>
  <si>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</si>
  <si>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</si>
  <si>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</si>
  <si>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</si>
  <si>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</si>
  <si>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</si>
  <si>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</si>
  <si>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</si>
  <si>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</si>
  <si>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</si>
  <si>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</si>
  <si>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</si>
  <si>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</si>
  <si>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</si>
  <si>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</si>
  <si>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</si>
  <si>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</si>
  <si>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</si>
  <si>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</si>
  <si>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</si>
  <si>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</si>
  <si>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</si>
  <si>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</si>
  <si>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</si>
  <si>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</si>
  <si>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</si>
  <si>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</si>
  <si>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</si>
  <si>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</si>
  <si>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</si>
  <si>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</si>
  <si>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</si>
  <si>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</si>
  <si>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</si>
  <si>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</si>
  <si>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</si>
  <si>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</si>
  <si>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</si>
  <si>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</si>
  <si>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</si>
  <si>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</si>
  <si>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</si>
  <si>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</si>
  <si>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</si>
  <si>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</si>
  <si>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</si>
  <si>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</si>
  <si>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</si>
  <si>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</si>
  <si>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</si>
  <si>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</si>
  <si>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</si>
  <si>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</si>
  <si>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</si>
  <si>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</si>
  <si>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</si>
  <si>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</si>
  <si>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</si>
  <si>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</si>
  <si>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</si>
  <si>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</si>
  <si>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</si>
  <si>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</si>
  <si>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</si>
  <si>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</si>
  <si>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</si>
  <si>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</si>
  <si>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</si>
  <si>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</si>
  <si>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</si>
  <si>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</si>
  <si>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</si>
  <si>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</si>
  <si>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</si>
  <si>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</si>
  <si>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</si>
  <si>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</si>
  <si>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</si>
  <si>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</si>
  <si>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</si>
  <si>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</si>
  <si>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</si>
  <si>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</si>
  <si>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</si>
  <si>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</si>
  <si>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</si>
  <si>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</si>
  <si>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</si>
  <si>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</si>
  <si>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</si>
  <si>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</si>
  <si>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</si>
  <si>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</si>
  <si>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</si>
  <si>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</si>
  <si>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</si>
  <si>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</si>
  <si>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</si>
  <si>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</si>
  <si>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</si>
  <si>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</si>
  <si>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</si>
  <si>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</si>
  <si>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</si>
  <si>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</si>
  <si>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</si>
  <si>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</si>
  <si>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</si>
  <si>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</si>
  <si>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</si>
  <si>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</si>
  <si>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</si>
  <si>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</si>
  <si>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</si>
  <si>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</si>
  <si>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</si>
  <si>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</si>
  <si>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</si>
  <si>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</si>
  <si>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</si>
  <si>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</si>
  <si>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</si>
  <si>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</si>
  <si>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</si>
  <si>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</si>
  <si>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</si>
  <si>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</si>
  <si>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</si>
  <si>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</si>
  <si>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</si>
  <si>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</si>
  <si>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</si>
  <si>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</si>
  <si>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</si>
  <si>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</si>
  <si>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</si>
  <si>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</si>
  <si>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</si>
  <si>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</si>
  <si>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</si>
  <si>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</si>
  <si>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</si>
  <si>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</si>
  <si>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</si>
  <si>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</si>
  <si>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</si>
  <si>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</si>
  <si>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</si>
  <si>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</si>
  <si>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</si>
  <si>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</si>
  <si>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</si>
  <si>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</si>
  <si>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</si>
  <si>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</si>
  <si>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</si>
  <si>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</si>
  <si>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</si>
  <si>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</si>
  <si>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</si>
  <si>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</si>
  <si>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</si>
  <si>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</si>
  <si>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</si>
  <si>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</si>
  <si>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</si>
  <si>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</si>
  <si>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</si>
  <si>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</si>
  <si>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</si>
  <si>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</si>
  <si>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</si>
  <si>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</si>
  <si>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</si>
  <si>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</si>
  <si>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</si>
  <si>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</si>
  <si>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</si>
  <si>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</si>
  <si>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</si>
  <si>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</si>
  <si>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</si>
  <si>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</si>
  <si>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</si>
  <si>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</si>
  <si>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</si>
  <si>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</si>
  <si>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</si>
  <si>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</si>
  <si>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</si>
  <si>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</si>
  <si>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</si>
  <si>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</si>
  <si>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</si>
  <si>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</si>
  <si>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</si>
  <si>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</si>
  <si>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</si>
  <si>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</si>
  <si>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</si>
  <si>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</si>
  <si>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</si>
  <si>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</si>
  <si>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</si>
  <si>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</si>
  <si>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</si>
  <si>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</si>
  <si>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</si>
  <si>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</si>
  <si>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</si>
  <si>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</si>
  <si>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</si>
  <si>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</si>
  <si>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</si>
  <si>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</si>
  <si>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</si>
  <si>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</si>
  <si>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</si>
  <si>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</si>
  <si>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</si>
  <si>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</si>
  <si>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</si>
  <si>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</si>
  <si>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</si>
  <si>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</si>
  <si>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</si>
  <si>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</si>
  <si>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</si>
  <si>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</si>
  <si>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</si>
  <si>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</si>
  <si>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</si>
  <si>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</si>
  <si>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</si>
  <si>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</si>
  <si>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</si>
  <si>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</si>
  <si>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</si>
  <si>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</si>
  <si>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</si>
  <si>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</si>
  <si>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</si>
  <si>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</si>
  <si>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</si>
  <si>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</si>
  <si>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</si>
  <si>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</si>
  <si>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</si>
  <si>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</si>
  <si>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</si>
  <si>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</si>
  <si>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</si>
  <si>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</si>
  <si>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</si>
  <si>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</si>
  <si>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</si>
  <si>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</si>
  <si>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</si>
  <si>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</si>
  <si>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</si>
  <si>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</si>
  <si>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</si>
  <si>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</si>
  <si>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</si>
  <si>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</si>
  <si>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</si>
  <si>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</si>
  <si>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</si>
  <si>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</si>
  <si>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</si>
  <si>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</si>
  <si>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</si>
  <si>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</si>
  <si>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</si>
  <si>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</si>
  <si>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</si>
  <si>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</si>
  <si>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</si>
  <si>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</si>
  <si>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</si>
  <si>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</si>
  <si>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</si>
  <si>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</si>
  <si>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</si>
  <si>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</si>
  <si>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</si>
  <si>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</si>
  <si>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</si>
  <si>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</si>
  <si>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</si>
  <si>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</si>
  <si>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</si>
  <si>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</si>
  <si>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</si>
  <si>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</si>
  <si>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</si>
  <si>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</si>
  <si>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</si>
  <si>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</si>
  <si>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</si>
  <si>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</si>
  <si>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</si>
  <si>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</si>
  <si>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</si>
  <si>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</si>
  <si>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</si>
  <si>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</si>
  <si>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</si>
  <si>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</si>
  <si>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</si>
  <si>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</si>
  <si>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</si>
  <si>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</si>
  <si>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</si>
  <si>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</si>
  <si>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</si>
  <si>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</si>
  <si>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</si>
  <si>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</si>
  <si>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</si>
  <si>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</si>
  <si>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</si>
  <si>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</si>
  <si>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</si>
  <si>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</si>
  <si>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</si>
  <si>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</si>
  <si>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</si>
  <si>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</si>
  <si>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</si>
  <si>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</si>
  <si>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</si>
  <si>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</si>
  <si>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</si>
  <si>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</si>
  <si>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</si>
  <si>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</si>
  <si>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</si>
  <si>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</si>
  <si>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</si>
  <si>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</si>
  <si>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</si>
  <si>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</si>
  <si>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</si>
  <si>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</si>
  <si>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</si>
  <si>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</si>
  <si>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</si>
  <si>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</si>
  <si>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</si>
  <si>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</si>
  <si>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</si>
  <si>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</si>
  <si>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</si>
  <si>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</si>
  <si>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</si>
  <si>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</si>
  <si>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</si>
  <si>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</si>
  <si>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</si>
  <si>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</si>
  <si>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</si>
  <si>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</si>
  <si>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</si>
  <si>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</si>
  <si>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</si>
  <si>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</si>
  <si>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</si>
  <si>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</si>
  <si>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</si>
  <si>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</si>
  <si>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</si>
  <si>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</si>
  <si>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</si>
  <si>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</si>
  <si>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</si>
  <si>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</si>
  <si>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</si>
  <si>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</si>
  <si>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</si>
  <si>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</si>
  <si>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</si>
  <si>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</si>
  <si>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</si>
  <si>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</si>
  <si>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</si>
  <si>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</si>
  <si>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</si>
  <si>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</si>
  <si>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</si>
  <si>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</si>
  <si>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</si>
  <si>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</si>
  <si>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</si>
  <si>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</si>
  <si>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</si>
  <si>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</si>
  <si>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</si>
  <si>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</si>
  <si>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</si>
  <si>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</si>
  <si>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</si>
  <si>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</si>
  <si>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</si>
  <si>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</si>
  <si>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</si>
  <si>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</si>
  <si>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</si>
  <si>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</si>
  <si>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</si>
  <si>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</si>
  <si>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</si>
  <si>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</si>
  <si>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</si>
  <si>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</si>
  <si>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</si>
  <si>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</si>
  <si>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</si>
  <si>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</si>
  <si>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</si>
  <si>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</si>
  <si>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</si>
  <si>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</si>
  <si>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</si>
  <si>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</si>
  <si>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</si>
  <si>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</si>
  <si>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</si>
  <si>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</si>
  <si>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</si>
  <si>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</si>
  <si>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</si>
  <si>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</si>
  <si>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</si>
  <si>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</si>
  <si>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</si>
  <si>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</si>
  <si>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</si>
  <si>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</si>
  <si>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</si>
  <si>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</si>
  <si>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</si>
  <si>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</si>
  <si>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</si>
  <si>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</si>
  <si>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</si>
  <si>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</si>
  <si>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</si>
  <si>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</si>
  <si>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</si>
  <si>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</si>
  <si>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</si>
  <si>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</si>
  <si>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</si>
  <si>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</si>
  <si>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</si>
  <si>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</si>
  <si>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</si>
  <si>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</si>
  <si>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</si>
  <si>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</si>
  <si>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</si>
  <si>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</si>
  <si>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</si>
  <si>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</si>
  <si>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</si>
  <si>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</si>
  <si>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</si>
  <si>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</si>
  <si>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</si>
  <si>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</si>
  <si>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</si>
  <si>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</si>
  <si>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</si>
  <si>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</si>
  <si>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</si>
  <si>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</si>
  <si>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</si>
  <si>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</si>
  <si>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</si>
  <si>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</si>
  <si>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</si>
  <si>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</si>
  <si>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</si>
  <si>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</si>
  <si>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</si>
  <si>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</si>
  <si>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</si>
  <si>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</si>
  <si>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</si>
  <si>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</si>
  <si>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</si>
  <si>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</si>
  <si>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</si>
  <si>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</si>
  <si>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</si>
  <si>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</si>
  <si>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</si>
  <si>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</si>
  <si>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</si>
  <si>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</si>
  <si>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</si>
  <si>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</si>
  <si>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</si>
  <si>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</si>
  <si>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</si>
  <si>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</si>
  <si>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</si>
  <si>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</si>
  <si>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</si>
  <si>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</si>
  <si>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</si>
  <si>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</si>
  <si>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</si>
  <si>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</si>
  <si>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</si>
  <si>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</si>
  <si>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</si>
  <si>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</si>
  <si>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</si>
  <si>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</si>
  <si>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</si>
  <si>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</si>
  <si>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</si>
  <si>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</si>
  <si>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</si>
  <si>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</si>
  <si>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</si>
  <si>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</si>
  <si>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</si>
  <si>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</si>
  <si>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</si>
  <si>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</si>
  <si>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</si>
  <si>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</si>
  <si>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</si>
  <si>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</si>
  <si>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</si>
  <si>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</si>
  <si>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</si>
  <si>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</si>
  <si>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</si>
  <si>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</si>
  <si>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</si>
  <si>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</si>
  <si>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</si>
  <si>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</si>
  <si>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</si>
  <si>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</si>
  <si>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</si>
  <si>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</si>
  <si>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</si>
  <si>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</si>
  <si>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</si>
  <si>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</si>
  <si>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</si>
  <si>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</si>
  <si>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</si>
  <si>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</si>
  <si>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</si>
  <si>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</si>
  <si>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</si>
  <si>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</si>
  <si>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</si>
  <si>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</si>
  <si>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</si>
  <si>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</si>
  <si>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</si>
  <si>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</si>
  <si>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</si>
  <si>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</si>
  <si>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</si>
  <si>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</si>
  <si>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</si>
  <si>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</si>
  <si>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</si>
  <si>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</si>
  <si>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</si>
  <si>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</si>
  <si>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</si>
  <si>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</si>
  <si>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</si>
  <si>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</si>
  <si>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</si>
  <si>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</si>
  <si>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</si>
  <si>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</si>
  <si>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</si>
  <si>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</si>
  <si>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</si>
  <si>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</si>
  <si>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</si>
  <si>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</si>
  <si>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</si>
  <si>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</si>
  <si>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</si>
  <si>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</si>
  <si>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</si>
  <si>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</si>
  <si>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</si>
  <si>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</si>
  <si>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</si>
  <si>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</si>
  <si>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</si>
  <si>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</si>
  <si>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</si>
  <si>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</si>
  <si>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</si>
  <si>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</si>
  <si>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</si>
  <si>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</si>
  <si>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</si>
  <si>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</si>
  <si>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</si>
  <si>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</si>
  <si>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</si>
  <si>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</si>
  <si>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</si>
  <si>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</si>
  <si>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</si>
  <si>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</si>
  <si>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</si>
  <si>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</si>
  <si>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</si>
  <si>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</si>
  <si>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</si>
  <si>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</si>
  <si>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</si>
  <si>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</si>
  <si>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</si>
  <si>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</si>
  <si>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</si>
  <si>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</si>
  <si>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</si>
  <si>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</si>
  <si>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</si>
  <si>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</si>
  <si>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</si>
  <si>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</si>
  <si>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</si>
  <si>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</si>
  <si>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</si>
  <si>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</si>
  <si>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</si>
  <si>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</si>
  <si>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</si>
  <si>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</si>
  <si>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</si>
  <si>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</si>
  <si>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</si>
  <si>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</si>
  <si>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</si>
  <si>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</si>
  <si>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</si>
  <si>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</si>
  <si>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</si>
  <si>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</si>
  <si>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</si>
  <si>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</si>
  <si>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</si>
  <si>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</si>
  <si>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</si>
  <si>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</si>
  <si>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</si>
  <si>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</si>
  <si>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</si>
  <si>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</si>
  <si>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</si>
  <si>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</si>
  <si>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</si>
  <si>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</si>
  <si>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</si>
  <si>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</si>
  <si>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</si>
  <si>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</si>
  <si>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</si>
  <si>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</si>
  <si>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</si>
  <si>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</si>
  <si>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</si>
  <si>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</si>
  <si>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</si>
  <si>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</si>
  <si>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</si>
  <si>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</si>
  <si>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</si>
  <si>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</si>
  <si>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</si>
  <si>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</si>
  <si>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</si>
  <si>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</si>
  <si>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</si>
  <si>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</si>
  <si>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</si>
  <si>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</si>
  <si>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</si>
  <si>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</si>
  <si>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</si>
  <si>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</si>
  <si>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</si>
  <si>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</si>
  <si>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</si>
  <si>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</si>
  <si>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</si>
  <si>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</si>
  <si>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</si>
  <si>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</si>
  <si>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</si>
  <si>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</si>
  <si>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</si>
  <si>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</si>
  <si>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</si>
  <si>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</si>
  <si>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</si>
  <si>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</si>
  <si>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</si>
  <si>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</si>
  <si>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</si>
  <si>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</si>
  <si>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</si>
  <si>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</si>
  <si>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</si>
  <si>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</si>
  <si>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</si>
  <si>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</si>
  <si>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</si>
  <si>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</si>
  <si>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</si>
  <si>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</si>
  <si>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</si>
  <si>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</si>
  <si>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</si>
  <si>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</si>
  <si>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</si>
  <si>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</si>
  <si>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</si>
  <si>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</si>
  <si>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</si>
  <si>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</si>
  <si>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</si>
  <si>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</si>
  <si>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</si>
  <si>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</si>
  <si>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</si>
  <si>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</si>
  <si>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</si>
  <si>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</si>
  <si>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</si>
  <si>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</si>
  <si>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</si>
  <si>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</si>
  <si>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</si>
  <si>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</si>
  <si>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</si>
  <si>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</si>
  <si>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</si>
  <si>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</si>
  <si>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</si>
  <si>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</si>
  <si>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</si>
  <si>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</si>
  <si>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</si>
  <si>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</si>
  <si>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</si>
  <si>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</si>
  <si>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</si>
  <si>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</si>
  <si>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</si>
  <si>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</si>
  <si>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</si>
  <si>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</si>
  <si>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</si>
  <si>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</si>
  <si>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</si>
  <si>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</si>
  <si>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</si>
  <si>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</si>
  <si>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</si>
  <si>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</si>
  <si>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</si>
  <si>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</si>
  <si>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</si>
  <si>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</si>
  <si>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</si>
  <si>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</si>
  <si>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</si>
  <si>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</si>
  <si>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</si>
  <si>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</si>
  <si>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</si>
  <si>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</si>
  <si>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</si>
  <si>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</si>
  <si>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</si>
  <si>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</si>
  <si>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</si>
  <si>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</si>
  <si>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</si>
  <si>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</si>
  <si>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</si>
  <si>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</si>
  <si>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</si>
  <si>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</si>
  <si>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</si>
  <si>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</si>
  <si>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</si>
  <si>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</si>
  <si>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</si>
  <si>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</si>
  <si>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</si>
  <si>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</si>
  <si>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</si>
  <si>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</si>
  <si>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</si>
  <si>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</si>
  <si>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</si>
  <si>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</si>
  <si>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</si>
  <si>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</si>
  <si>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</si>
  <si>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</si>
  <si>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</si>
  <si>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</si>
  <si>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</si>
  <si>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</si>
  <si>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</si>
  <si>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</si>
  <si>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</si>
  <si>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</si>
  <si>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</si>
  <si>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</si>
  <si>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</si>
  <si>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</si>
  <si>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</si>
  <si>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</si>
  <si>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</si>
  <si>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</si>
  <si>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</si>
  <si>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</si>
  <si>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</si>
  <si>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</si>
  <si>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</si>
  <si>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</si>
  <si>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</si>
  <si>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</si>
  <si>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</si>
  <si>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</si>
  <si>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</si>
  <si>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</si>
  <si>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</si>
  <si>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</si>
  <si>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</si>
  <si>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</si>
  <si>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</si>
  <si>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</si>
  <si>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</si>
  <si>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</si>
  <si>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</si>
  <si>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</si>
  <si>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</si>
  <si>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</si>
  <si>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</si>
  <si>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</si>
  <si>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</si>
  <si>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</si>
  <si>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</si>
  <si>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</si>
  <si>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</si>
  <si>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</si>
  <si>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</si>
  <si>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</si>
  <si>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</si>
  <si>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</si>
  <si>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</si>
  <si>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</si>
  <si>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</si>
  <si>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</si>
  <si>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</si>
  <si>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</si>
  <si>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</si>
  <si>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</si>
  <si>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</si>
  <si>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</si>
  <si>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</si>
  <si>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</si>
  <si>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</si>
  <si>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</si>
  <si>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</si>
  <si>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</si>
  <si>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</si>
  <si>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</si>
  <si>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</si>
  <si>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</si>
  <si>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</si>
  <si>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</si>
  <si>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</si>
  <si>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</si>
  <si>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</si>
  <si>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</si>
  <si>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</si>
  <si>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</si>
  <si>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</si>
  <si>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</si>
  <si>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</si>
  <si>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</si>
  <si>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</si>
  <si>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</si>
  <si>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</si>
  <si>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</si>
  <si>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</si>
  <si>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</si>
  <si>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</si>
  <si>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</si>
  <si>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</si>
  <si>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</si>
  <si>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</si>
  <si>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</si>
  <si>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</si>
  <si>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</si>
  <si>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</si>
  <si>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</si>
  <si>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</si>
  <si>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</si>
  <si>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</si>
  <si>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</si>
  <si>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</si>
  <si>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</si>
  <si>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</si>
  <si>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</si>
  <si>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</si>
  <si>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</si>
  <si>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</si>
  <si>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</si>
  <si>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</si>
  <si>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</si>
  <si>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</si>
  <si>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</si>
  <si>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</si>
  <si>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</si>
  <si>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</si>
  <si>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</si>
  <si>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</si>
  <si>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</si>
  <si>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</si>
  <si>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</si>
  <si>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</si>
  <si>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</si>
  <si>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</si>
  <si>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</si>
  <si>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</si>
  <si>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</si>
  <si>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</si>
  <si>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</si>
  <si>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</si>
  <si>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</si>
  <si>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</si>
  <si>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</si>
  <si>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</si>
  <si>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</si>
  <si>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</si>
  <si>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</si>
  <si>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</si>
  <si>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</si>
  <si>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</si>
  <si>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</si>
  <si>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</si>
  <si>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</si>
  <si>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</si>
  <si>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</si>
  <si>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</si>
  <si>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</si>
  <si>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</si>
  <si>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</si>
  <si>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</si>
  <si>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</si>
  <si>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</si>
  <si>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</si>
  <si>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</si>
  <si>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</si>
  <si>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</si>
  <si>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</si>
  <si>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</si>
  <si>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</si>
  <si>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</si>
  <si>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</si>
  <si>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</si>
  <si>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</si>
  <si>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</si>
  <si>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</si>
  <si>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</si>
  <si>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</si>
  <si>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</si>
  <si>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</si>
  <si>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</si>
  <si>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</si>
  <si>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</si>
  <si>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</si>
  <si>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</si>
  <si>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</si>
  <si>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</si>
  <si>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</si>
  <si>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</si>
  <si>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</si>
  <si>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</si>
  <si>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</si>
  <si>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</si>
  <si>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</si>
  <si>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</si>
  <si>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</si>
  <si>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</si>
  <si>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</si>
  <si>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</si>
  <si>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</si>
  <si>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</si>
  <si>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</si>
  <si>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</si>
  <si>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</si>
  <si>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</si>
  <si>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</si>
  <si>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</si>
  <si>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</si>
  <si>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</si>
  <si>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</si>
  <si>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</si>
  <si>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</si>
  <si>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</si>
  <si>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</si>
  <si>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</si>
  <si>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</si>
  <si>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</si>
  <si>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</si>
  <si>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</si>
  <si>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</si>
  <si>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</si>
  <si>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</si>
  <si>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</si>
  <si>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</si>
  <si>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</si>
  <si>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</si>
  <si>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</si>
  <si>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</si>
  <si>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</si>
  <si>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</si>
  <si>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</si>
  <si>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</si>
  <si>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</si>
  <si>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</si>
  <si>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</si>
  <si>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</si>
  <si>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</si>
  <si>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</si>
  <si>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</si>
  <si>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</si>
  <si>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</si>
  <si>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</si>
  <si>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</si>
  <si>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</si>
  <si>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</si>
  <si>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</si>
  <si>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</si>
  <si>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</si>
  <si>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</si>
  <si>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</si>
  <si>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</si>
  <si>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</si>
  <si>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</si>
  <si>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</si>
  <si>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</si>
  <si>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</si>
  <si>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</si>
  <si>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</si>
  <si>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</si>
  <si>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</si>
  <si>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</si>
  <si>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</si>
  <si>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</si>
  <si>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</si>
  <si>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</si>
  <si>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</si>
  <si>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</si>
  <si>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</si>
  <si>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</si>
  <si>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</si>
  <si>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</si>
  <si>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</si>
  <si>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</si>
  <si>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</si>
  <si>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</si>
  <si>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</si>
  <si>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</si>
  <si>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</si>
  <si>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</si>
  <si>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</si>
  <si>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</si>
  <si>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</si>
  <si>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</si>
  <si>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</si>
  <si>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</si>
  <si>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</si>
  <si>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</si>
  <si>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</si>
  <si>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</si>
  <si>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</si>
  <si>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</si>
  <si>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</si>
  <si>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</si>
  <si>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</si>
  <si>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</si>
  <si>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</si>
  <si>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</si>
  <si>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</si>
  <si>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</si>
  <si>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</si>
  <si>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</si>
  <si>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</si>
  <si>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</si>
  <si>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</si>
  <si>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</si>
  <si>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</si>
  <si>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</si>
  <si>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</si>
  <si>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</si>
  <si>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</si>
  <si>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</si>
  <si>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</si>
  <si>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</si>
  <si>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</si>
  <si>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</si>
  <si>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</si>
  <si>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</si>
  <si>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</si>
  <si>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</si>
  <si>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</si>
  <si>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</si>
  <si>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</si>
  <si>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</si>
  <si>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</si>
  <si>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</si>
  <si>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</si>
  <si>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</si>
  <si>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</si>
  <si>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</si>
  <si>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</si>
  <si>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</si>
  <si>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</si>
  <si>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</si>
  <si>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</si>
  <si>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</si>
  <si>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</si>
  <si>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</si>
  <si>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</si>
  <si>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</si>
  <si>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</si>
  <si>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</si>
  <si>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</si>
  <si>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</si>
  <si>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</si>
  <si>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</si>
  <si>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</si>
  <si>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</si>
  <si>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</si>
  <si>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</si>
  <si>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</si>
  <si>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</si>
  <si>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</si>
  <si>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</si>
  <si>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</si>
  <si>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</si>
  <si>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</si>
  <si>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</si>
  <si>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</si>
  <si>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</si>
  <si>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</si>
  <si>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</si>
  <si>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</si>
  <si>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</si>
  <si>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</si>
  <si>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</si>
  <si>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</si>
  <si>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</si>
  <si>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</si>
  <si>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</si>
  <si>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</si>
  <si>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</si>
  <si>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</si>
  <si>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</si>
  <si>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</si>
  <si>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</si>
  <si>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</si>
  <si>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</si>
  <si>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</si>
  <si>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</si>
  <si>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</si>
  <si>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</si>
  <si>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</si>
  <si>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</si>
  <si>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</si>
  <si>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</si>
  <si>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</si>
  <si>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</si>
  <si>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</si>
  <si>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</si>
  <si>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</si>
  <si>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</si>
  <si>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</si>
  <si>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</si>
  <si>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</si>
  <si>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</si>
  <si>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</si>
  <si>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</si>
  <si>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</si>
  <si>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</si>
  <si>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</si>
  <si>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</si>
  <si>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</si>
  <si>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</si>
  <si>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</si>
  <si>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</si>
  <si>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</si>
  <si>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</si>
  <si>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</si>
  <si>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</si>
  <si>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</si>
  <si>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</si>
  <si>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</si>
  <si>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</si>
  <si>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</si>
  <si>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</si>
  <si>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</si>
  <si>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</si>
  <si>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</si>
  <si>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</si>
  <si>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</si>
  <si>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</si>
  <si>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</si>
  <si>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</si>
  <si>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</si>
  <si>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</si>
  <si>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</si>
  <si>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</si>
  <si>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</si>
  <si>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</si>
  <si>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</si>
  <si>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</si>
  <si>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</si>
  <si>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</si>
  <si>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</si>
  <si>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</si>
  <si>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</si>
  <si>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</si>
  <si>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</si>
  <si>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</si>
  <si>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</si>
  <si>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</si>
  <si>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</si>
  <si>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</si>
  <si>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</si>
  <si>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</si>
  <si>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</si>
  <si>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</si>
  <si>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</si>
  <si>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</si>
  <si>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</si>
  <si>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</si>
  <si>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</si>
  <si>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</si>
  <si>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</si>
  <si>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</si>
  <si>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</si>
  <si>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</si>
  <si>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</si>
  <si>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</si>
  <si>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</si>
  <si>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</si>
  <si>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</si>
  <si>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</si>
  <si>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</si>
  <si>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</si>
  <si>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</si>
  <si>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</si>
  <si>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</si>
  <si>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</si>
  <si>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</si>
  <si>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</si>
  <si>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</si>
  <si>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</si>
  <si>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</si>
  <si>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</si>
  <si>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</si>
  <si>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</si>
  <si>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</si>
  <si>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</si>
  <si>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</si>
  <si>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</si>
  <si>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</si>
  <si>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</si>
  <si>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</si>
  <si>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</si>
  <si>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</si>
  <si>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</si>
  <si>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</si>
  <si>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</si>
  <si>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</si>
  <si>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</si>
  <si>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</si>
  <si>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</si>
  <si>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</si>
  <si>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</si>
  <si>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</si>
  <si>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</si>
  <si>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</si>
  <si>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</si>
  <si>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</si>
  <si>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</si>
  <si>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</si>
  <si>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</si>
  <si>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</si>
  <si>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</si>
  <si>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</si>
  <si>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</si>
  <si>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</si>
  <si>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</si>
  <si>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</si>
  <si>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</si>
  <si>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</si>
  <si>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</si>
  <si>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</si>
  <si>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</si>
  <si>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</si>
  <si>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</si>
  <si>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</si>
  <si>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</si>
  <si>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</si>
  <si>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</si>
  <si>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</si>
  <si>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</si>
  <si>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</si>
  <si>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</si>
  <si>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</si>
  <si>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</si>
  <si>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</si>
  <si>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</si>
  <si>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</si>
  <si>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</si>
  <si>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</si>
  <si>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</si>
  <si>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</si>
  <si>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</si>
  <si>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</si>
  <si>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</si>
  <si>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</si>
  <si>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</si>
  <si>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</si>
  <si>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</si>
  <si>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</si>
  <si>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</si>
  <si>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</si>
  <si>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</si>
  <si>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</si>
  <si>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</si>
  <si>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</si>
  <si>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</si>
  <si>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</si>
  <si>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</si>
  <si>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</si>
  <si>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</si>
  <si>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</si>
  <si>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</si>
  <si>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</si>
  <si>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</si>
  <si>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</si>
  <si>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</si>
  <si>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</si>
  <si>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</si>
  <si>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</si>
  <si>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</si>
  <si>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</si>
  <si>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</si>
  <si>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</si>
  <si>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</si>
  <si>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</si>
  <si>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</si>
  <si>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</si>
  <si>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</si>
  <si>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</si>
  <si>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</si>
  <si>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</si>
  <si>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</si>
  <si>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</si>
  <si>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</si>
  <si>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</si>
  <si>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</si>
  <si>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</si>
  <si>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</si>
  <si>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</si>
  <si>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</si>
  <si>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</si>
  <si>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</si>
  <si>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</si>
  <si>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</si>
  <si>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</si>
  <si>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</si>
  <si>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</si>
  <si>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</si>
  <si>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</si>
  <si>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</si>
  <si>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</si>
  <si>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</si>
  <si>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</si>
  <si>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</si>
  <si>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</si>
  <si>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</si>
  <si>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</si>
  <si>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</si>
  <si>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</si>
  <si>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</si>
  <si>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</si>
  <si>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</si>
  <si>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</si>
  <si>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</si>
  <si>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</si>
  <si>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</si>
  <si>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</si>
  <si>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</si>
  <si>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</si>
  <si>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</si>
  <si>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</si>
  <si>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</si>
  <si>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</si>
  <si>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</si>
  <si>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</si>
  <si>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</si>
  <si>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</si>
  <si>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</si>
  <si>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</si>
  <si>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</si>
  <si>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</si>
  <si>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</si>
  <si>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</si>
  <si>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</si>
  <si>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</si>
  <si>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</si>
  <si>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</si>
  <si>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</si>
  <si>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</si>
  <si>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</si>
  <si>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</si>
  <si>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</si>
  <si>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</si>
  <si>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</si>
  <si>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</si>
  <si>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</si>
  <si>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</si>
  <si>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</si>
  <si>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</si>
  <si>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</si>
  <si>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</si>
  <si>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</si>
  <si>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</si>
  <si>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</si>
  <si>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</si>
  <si>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</si>
  <si>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</si>
  <si>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</si>
  <si>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</si>
  <si>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</si>
  <si>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</si>
  <si>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</si>
  <si>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</si>
  <si>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</si>
  <si>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</si>
  <si>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</si>
  <si>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</si>
  <si>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</si>
  <si>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</si>
  <si>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</si>
  <si>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</si>
  <si>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</si>
  <si>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</si>
  <si>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</si>
  <si>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</si>
  <si>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</si>
  <si>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</si>
  <si>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</si>
  <si>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</si>
  <si>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</si>
  <si>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</si>
  <si>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</si>
  <si>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</si>
  <si>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</si>
  <si>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</si>
  <si>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</si>
  <si>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</si>
  <si>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</si>
  <si>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</si>
  <si>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</si>
  <si>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</si>
  <si>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</si>
  <si>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</si>
  <si>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</si>
  <si>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</si>
  <si>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</si>
  <si>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</si>
  <si>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</si>
  <si>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</si>
  <si>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</si>
  <si>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</si>
  <si>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</si>
  <si>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</si>
  <si>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</si>
  <si>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</si>
  <si>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</si>
  <si>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</si>
  <si>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</si>
  <si>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</si>
  <si>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</si>
  <si>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</si>
  <si>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</si>
  <si>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</si>
  <si>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</si>
  <si>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</si>
  <si>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</si>
  <si>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</si>
  <si>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</si>
  <si>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</si>
  <si>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</si>
  <si>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</si>
  <si>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</si>
  <si>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</si>
  <si>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</si>
  <si>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</si>
  <si>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</si>
  <si>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</si>
  <si>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</si>
  <si>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</si>
  <si>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</si>
  <si>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</si>
  <si>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</si>
  <si>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</si>
  <si>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</si>
  <si>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</si>
  <si>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</si>
  <si>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</si>
  <si>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</si>
  <si>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</si>
  <si>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</si>
  <si>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</si>
  <si>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</si>
  <si>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</si>
  <si>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</si>
  <si>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</si>
  <si>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</si>
  <si>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</si>
  <si>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</si>
  <si>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</si>
  <si>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</si>
  <si>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</si>
  <si>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</si>
  <si>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</si>
  <si>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</si>
  <si>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</si>
  <si>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</si>
  <si>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</si>
  <si>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</si>
  <si>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</si>
  <si>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</si>
  <si>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</si>
  <si>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</si>
  <si>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</si>
  <si>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</si>
  <si>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</si>
  <si>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</si>
  <si>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</si>
  <si>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</si>
  <si>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</si>
  <si>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</si>
  <si>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</si>
  <si>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</si>
  <si>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</si>
  <si>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</si>
  <si>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</si>
  <si>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</si>
  <si>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</si>
  <si>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</si>
  <si>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</si>
  <si>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</si>
  <si>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</si>
  <si>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</si>
  <si>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</si>
  <si>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</si>
  <si>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</si>
  <si>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</si>
  <si>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</si>
  <si>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</si>
  <si>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</si>
  <si>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</si>
  <si>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</si>
  <si>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</si>
  <si>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</si>
  <si>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</si>
  <si>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</si>
  <si>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</si>
  <si>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</si>
  <si>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</si>
  <si>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</si>
  <si>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</si>
  <si>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</si>
  <si>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</si>
  <si>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</si>
  <si>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</si>
  <si>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</si>
  <si>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</si>
  <si>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</si>
  <si>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</si>
  <si>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</si>
  <si>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</si>
  <si>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</si>
  <si>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</si>
  <si>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</si>
  <si>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</si>
  <si>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</si>
  <si>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</si>
  <si>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</si>
  <si>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</si>
  <si>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</si>
  <si>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</si>
  <si>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</si>
  <si>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</si>
  <si>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</si>
  <si>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</si>
  <si>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</si>
  <si>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</si>
  <si>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</si>
  <si>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</si>
  <si>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</si>
  <si>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</si>
  <si>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</si>
  <si>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</si>
  <si>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</si>
  <si>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</si>
  <si>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</si>
  <si>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</si>
  <si>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</si>
  <si>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</si>
  <si>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</si>
  <si>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</si>
  <si>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</si>
  <si>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</si>
  <si>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</si>
  <si>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</si>
  <si>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</si>
  <si>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</si>
  <si>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</si>
  <si>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</si>
  <si>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</si>
  <si>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</si>
  <si>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</si>
  <si>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</si>
  <si>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</si>
  <si>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</si>
  <si>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</si>
  <si>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</si>
  <si>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</si>
  <si>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</si>
  <si>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</si>
  <si>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</si>
  <si>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</si>
  <si>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</si>
  <si>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</si>
  <si>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</si>
  <si>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</si>
  <si>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</si>
  <si>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</si>
  <si>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</si>
  <si>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</si>
  <si>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</si>
  <si>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</si>
  <si>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</si>
  <si>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</si>
  <si>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</si>
  <si>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</si>
  <si>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</si>
  <si>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</si>
  <si>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</si>
  <si>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</si>
  <si>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</si>
  <si>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</si>
  <si>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</si>
  <si>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</si>
  <si>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</si>
  <si>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</si>
  <si>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</si>
  <si>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</si>
  <si>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</si>
  <si>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</si>
  <si>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</si>
  <si>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</si>
  <si>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</si>
  <si>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</si>
  <si>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</si>
  <si>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</si>
  <si>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</si>
  <si>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</si>
  <si>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</si>
  <si>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</si>
  <si>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</si>
  <si>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</si>
  <si>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</si>
  <si>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</si>
  <si>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</si>
  <si>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</si>
  <si>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</si>
  <si>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</si>
  <si>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</si>
  <si>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</si>
  <si>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</si>
  <si>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</si>
  <si>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</si>
  <si>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</si>
  <si>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</si>
  <si>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</si>
  <si>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</si>
  <si>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</si>
  <si>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</si>
  <si>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</si>
  <si>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</si>
  <si>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</si>
  <si>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</si>
  <si>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</si>
  <si>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</si>
  <si>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</si>
  <si>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</si>
  <si>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</si>
  <si>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</si>
  <si>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</si>
  <si>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</si>
  <si>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</si>
  <si>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</si>
  <si>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</si>
  <si>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</si>
  <si>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</si>
  <si>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</si>
  <si>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</si>
  <si>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</si>
  <si>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</si>
  <si>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</si>
  <si>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</si>
  <si>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</si>
  <si>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</si>
  <si>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</si>
  <si>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</si>
  <si>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</si>
  <si>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</si>
  <si>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</si>
  <si>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</si>
  <si>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</si>
  <si>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</si>
  <si>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</si>
  <si>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</si>
  <si>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</si>
  <si>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</si>
  <si>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</si>
  <si>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</si>
  <si>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</si>
  <si>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</si>
  <si>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</si>
  <si>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</si>
  <si>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</si>
  <si>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</si>
  <si>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</si>
  <si>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</si>
  <si>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</si>
  <si>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</si>
  <si>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</si>
  <si>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</si>
  <si>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</si>
  <si>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</si>
  <si>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</si>
  <si>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</si>
  <si>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</si>
  <si>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</si>
  <si>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</si>
  <si>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</si>
  <si>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</si>
  <si>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</si>
  <si>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</si>
  <si>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</si>
  <si>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</si>
  <si>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</si>
  <si>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</si>
  <si>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</si>
  <si>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</si>
  <si>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</si>
  <si>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</si>
  <si>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</si>
  <si>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</si>
  <si>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</si>
  <si>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</si>
  <si>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</si>
  <si>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</si>
  <si>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</si>
  <si>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</si>
  <si>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</si>
  <si>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</si>
  <si>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</si>
  <si>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</si>
  <si>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</si>
  <si>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</si>
  <si>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</si>
  <si>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</si>
  <si>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</si>
  <si>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</si>
  <si>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</si>
  <si>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</si>
  <si>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</si>
  <si>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</si>
  <si>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</si>
  <si>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</si>
  <si>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</si>
  <si>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</si>
  <si>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</si>
  <si>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</si>
  <si>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</si>
  <si>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</si>
  <si>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</si>
  <si>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</si>
  <si>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</si>
  <si>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</si>
  <si>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</si>
  <si>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</si>
  <si>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</si>
  <si>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</si>
  <si>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</si>
  <si>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</si>
  <si>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</si>
  <si>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</si>
  <si>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</si>
  <si>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</si>
  <si>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</si>
  <si>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</si>
  <si>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</si>
  <si>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</si>
  <si>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</si>
  <si>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</si>
  <si>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</si>
  <si>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</si>
  <si>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</si>
  <si>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</si>
  <si>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</si>
  <si>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</si>
  <si>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</si>
  <si>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</si>
  <si>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</si>
  <si>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</si>
  <si>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</si>
  <si>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</si>
  <si>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</si>
  <si>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</si>
  <si>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</si>
  <si>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</si>
  <si>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</si>
  <si>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</si>
  <si>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</si>
  <si>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</si>
  <si>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</si>
  <si>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</si>
  <si>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</si>
  <si>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</si>
  <si>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</si>
  <si>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</si>
  <si>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</si>
  <si>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</si>
  <si>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</si>
  <si>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</si>
  <si>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</si>
  <si>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</si>
  <si>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</si>
  <si>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</si>
  <si>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</si>
  <si>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</si>
  <si>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</si>
  <si>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</si>
  <si>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</si>
  <si>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</si>
  <si>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</si>
  <si>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</si>
  <si>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</si>
  <si>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</si>
  <si>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</si>
  <si>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</si>
  <si>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</si>
  <si>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</si>
  <si>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</si>
  <si>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</si>
  <si>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</si>
  <si>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</si>
  <si>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</si>
  <si>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</si>
  <si>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</si>
  <si>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</si>
  <si>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</si>
  <si>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</si>
  <si>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</si>
  <si>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</si>
  <si>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</si>
  <si>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</si>
  <si>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</si>
  <si>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</si>
  <si>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</si>
  <si>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</si>
  <si>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</si>
  <si>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</si>
  <si>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</si>
  <si>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</si>
  <si>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</si>
  <si>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</si>
  <si>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</si>
  <si>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</si>
  <si>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</si>
  <si>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</si>
  <si>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</si>
  <si>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</si>
  <si>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</si>
  <si>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</si>
  <si>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</si>
  <si>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</si>
  <si>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</si>
  <si>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</si>
  <si>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</si>
  <si>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</si>
  <si>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</si>
  <si>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</si>
  <si>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</si>
  <si>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</si>
  <si>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</si>
  <si>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</si>
  <si>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</si>
  <si>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</si>
  <si>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</si>
  <si>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</si>
  <si>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</si>
  <si>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</si>
  <si>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</si>
  <si>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</si>
  <si>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</si>
  <si>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</si>
  <si>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</si>
  <si>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</si>
  <si>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</si>
  <si>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</si>
  <si>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</si>
  <si>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</si>
  <si>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</si>
  <si>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</si>
  <si>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</si>
  <si>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</si>
  <si>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</si>
  <si>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</si>
  <si>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</si>
  <si>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</si>
  <si>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</si>
  <si>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</si>
  <si>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</si>
  <si>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</si>
  <si>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</si>
  <si>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</si>
  <si>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</si>
  <si>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</si>
  <si>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</si>
  <si>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</si>
  <si>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</si>
  <si>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</si>
  <si>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</si>
  <si>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</si>
  <si>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</si>
  <si>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</si>
  <si>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</si>
  <si>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</si>
  <si>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</si>
  <si>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</si>
  <si>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</si>
  <si>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</si>
  <si>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</si>
  <si>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</si>
  <si>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</si>
  <si>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</si>
  <si>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</si>
  <si>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</si>
  <si>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</si>
  <si>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</si>
  <si>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</si>
  <si>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</si>
  <si>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</si>
  <si>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</si>
  <si>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</si>
  <si>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</si>
  <si>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</si>
  <si>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</si>
  <si>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</si>
  <si>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</si>
  <si>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</si>
  <si>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</si>
  <si>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</si>
  <si>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</si>
  <si>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</si>
  <si>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</si>
  <si>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</si>
  <si>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</si>
  <si>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</si>
  <si>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</si>
  <si>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</si>
  <si>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</si>
  <si>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</si>
  <si>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</si>
  <si>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</si>
  <si>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</si>
  <si>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</si>
  <si>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</si>
  <si>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</si>
  <si>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</si>
  <si>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</si>
  <si>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</si>
  <si>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</si>
  <si>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</si>
  <si>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</si>
  <si>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</si>
  <si>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</si>
  <si>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</si>
  <si>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</si>
  <si>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</si>
  <si>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</si>
  <si>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</si>
  <si>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</si>
  <si>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</si>
  <si>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</si>
  <si>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</si>
  <si>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</si>
  <si>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</si>
  <si>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</si>
  <si>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</si>
  <si>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</si>
  <si>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</si>
  <si>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</si>
  <si>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</si>
  <si>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</si>
  <si>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</si>
  <si>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</si>
  <si>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</si>
  <si>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</si>
  <si>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</si>
  <si>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</si>
  <si>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</si>
  <si>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</si>
  <si>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</si>
  <si>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</si>
  <si>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</si>
  <si>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</si>
  <si>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</si>
  <si>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</si>
  <si>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</si>
  <si>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</si>
  <si>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</si>
  <si>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</si>
  <si>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</si>
  <si>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</si>
  <si>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</si>
  <si>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</si>
  <si>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</si>
  <si>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</si>
  <si>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</si>
  <si>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</si>
  <si>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</si>
  <si>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</si>
  <si>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</si>
  <si>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</si>
  <si>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</si>
  <si>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</si>
  <si>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</si>
  <si>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</si>
  <si>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</si>
  <si>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</si>
  <si>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</si>
  <si>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</si>
  <si>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</si>
  <si>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</si>
  <si>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</si>
  <si>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</si>
  <si>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</si>
  <si>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</si>
  <si>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</si>
  <si>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</si>
  <si>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</si>
  <si>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</si>
  <si>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</si>
  <si>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</si>
  <si>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</si>
  <si>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</si>
  <si>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</si>
  <si>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</si>
  <si>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</si>
  <si>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</si>
  <si>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</si>
  <si>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</si>
  <si>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</si>
  <si>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</si>
  <si>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</si>
  <si>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</si>
  <si>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</si>
  <si>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</si>
  <si>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</si>
  <si>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</si>
  <si>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</si>
  <si>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</si>
  <si>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</si>
  <si>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</si>
  <si>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</si>
  <si>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</si>
  <si>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</si>
  <si>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</si>
  <si>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</si>
  <si>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</si>
  <si>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</si>
  <si>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</si>
  <si>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</si>
  <si>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</si>
  <si>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</si>
  <si>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</si>
  <si>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</si>
  <si>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</si>
  <si>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</si>
  <si>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</si>
  <si>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</si>
  <si>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</si>
  <si>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</si>
  <si>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</si>
  <si>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</si>
  <si>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</si>
  <si>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</si>
  <si>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</si>
  <si>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</si>
  <si>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</si>
  <si>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</si>
  <si>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</si>
  <si>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</si>
  <si>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</si>
  <si>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</si>
  <si>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</si>
  <si>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</si>
  <si>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</si>
  <si>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</si>
  <si>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</si>
  <si>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</si>
  <si>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</si>
  <si>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</si>
  <si>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</si>
  <si>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</si>
  <si>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</si>
  <si>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</si>
  <si>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</si>
  <si>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</si>
  <si>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</si>
  <si>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</si>
  <si>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</si>
  <si>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</si>
  <si>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</si>
  <si>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</si>
  <si>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</si>
  <si>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</si>
  <si>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</si>
  <si>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</si>
  <si>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</si>
  <si>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</si>
  <si>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</si>
  <si>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</si>
  <si>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</si>
  <si>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</si>
  <si>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</si>
  <si>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</si>
  <si>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</si>
  <si>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</si>
  <si>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</si>
  <si>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</si>
  <si>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</si>
  <si>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</si>
  <si>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</si>
  <si>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</si>
  <si>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</si>
  <si>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</si>
  <si>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</si>
  <si>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</si>
  <si>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</si>
  <si>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</si>
  <si>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</si>
  <si>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</si>
  <si>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</si>
  <si>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</si>
  <si>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</si>
  <si>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</si>
  <si>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</si>
  <si>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</si>
  <si>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</si>
  <si>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</si>
  <si>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</si>
  <si>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</si>
  <si>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</si>
  <si>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</si>
  <si>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</si>
  <si>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</si>
  <si>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</si>
  <si>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</si>
  <si>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</si>
  <si>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</si>
  <si>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</si>
  <si>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</si>
  <si>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</si>
  <si>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</si>
  <si>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</si>
  <si>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</si>
  <si>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</si>
  <si>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</si>
  <si>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</si>
  <si>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</si>
  <si>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</si>
  <si>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</si>
  <si>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</si>
  <si>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</si>
  <si>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</si>
  <si>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</si>
  <si>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</si>
  <si>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</si>
  <si>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</si>
  <si>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</si>
  <si>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</si>
  <si>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</si>
  <si>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</si>
  <si>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</si>
  <si>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</si>
  <si>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</si>
  <si>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</si>
  <si>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</si>
  <si>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</si>
  <si>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</si>
  <si>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</si>
  <si>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</si>
  <si>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</si>
  <si>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</si>
  <si>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</si>
  <si>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</si>
  <si>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</si>
  <si>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</si>
  <si>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</si>
  <si>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</si>
  <si>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</si>
  <si>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</si>
  <si>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</si>
  <si>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</si>
  <si>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</si>
  <si>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</si>
  <si>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</si>
  <si>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</si>
  <si>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</si>
  <si>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</si>
  <si>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</si>
  <si>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</si>
  <si>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</si>
  <si>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</si>
  <si>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</si>
  <si>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</si>
  <si>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</si>
  <si>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</si>
  <si>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</si>
  <si>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</si>
  <si>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</si>
  <si>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</si>
  <si>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</si>
  <si>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</si>
  <si>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</si>
  <si>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</si>
  <si>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</si>
  <si>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</si>
  <si>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</si>
  <si>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</si>
  <si>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</si>
  <si>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</si>
  <si>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</si>
  <si>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</si>
  <si>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</si>
  <si>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</si>
  <si>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</si>
  <si>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</si>
  <si>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</si>
  <si>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</si>
  <si>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</si>
  <si>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</si>
  <si>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</si>
  <si>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</si>
  <si>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</si>
  <si>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</si>
  <si>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</si>
  <si>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</si>
  <si>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</si>
  <si>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</si>
  <si>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</si>
  <si>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</si>
  <si>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</si>
  <si>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</si>
  <si>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</si>
  <si>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</si>
  <si>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</si>
  <si>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</si>
  <si>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</si>
  <si>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</si>
  <si>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</si>
  <si>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</si>
  <si>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</si>
  <si>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</si>
  <si>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</si>
  <si>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</si>
  <si>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</si>
  <si>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</si>
  <si>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</si>
  <si>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</si>
  <si>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</si>
  <si>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</si>
  <si>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</si>
  <si>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</si>
  <si>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</si>
  <si>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</si>
  <si>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</si>
  <si>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</si>
  <si>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</si>
  <si>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</si>
  <si>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</si>
  <si>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</si>
  <si>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</si>
  <si>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</si>
  <si>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</si>
  <si>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</si>
  <si>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</si>
  <si>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</si>
  <si>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</si>
  <si>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</si>
  <si>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</si>
  <si>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</si>
  <si>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</si>
  <si>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</si>
  <si>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</si>
  <si>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</si>
  <si>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</si>
  <si>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</si>
  <si>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</si>
  <si>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</si>
  <si>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</si>
  <si>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</si>
  <si>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</si>
  <si>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</si>
  <si>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</si>
  <si>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</si>
  <si>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</si>
  <si>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</si>
  <si>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</si>
  <si>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</si>
  <si>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</si>
  <si>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</si>
  <si>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</si>
  <si>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</si>
  <si>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</si>
  <si>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</si>
  <si>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</si>
  <si>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</si>
  <si>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</si>
  <si>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</si>
  <si>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</si>
  <si>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</si>
  <si>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</si>
  <si>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</si>
  <si>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</si>
  <si>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</si>
  <si>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</si>
  <si>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</si>
  <si>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</si>
  <si>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</si>
  <si>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</si>
  <si>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</si>
  <si>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</si>
  <si>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</si>
  <si>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</si>
  <si>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</si>
  <si>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</si>
  <si>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</si>
  <si>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</si>
  <si>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</si>
  <si>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</si>
  <si>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</si>
  <si>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</si>
  <si>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</si>
  <si>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</si>
  <si>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</si>
  <si>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</si>
  <si>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</si>
  <si>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</si>
  <si>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</si>
  <si>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</si>
  <si>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</si>
  <si>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</si>
  <si>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</si>
  <si>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</si>
  <si>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</si>
  <si>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</si>
  <si>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</si>
  <si>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</si>
  <si>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</si>
  <si>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</si>
  <si>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</si>
  <si>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</si>
  <si>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</si>
  <si>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</si>
  <si>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</si>
  <si>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</si>
  <si>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</si>
  <si>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</si>
  <si>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</si>
  <si>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</si>
  <si>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</si>
  <si>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</si>
  <si>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</si>
  <si>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</si>
  <si>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</si>
  <si>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</si>
  <si>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</si>
  <si>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</si>
  <si>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</si>
  <si>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</si>
  <si>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</si>
  <si>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</si>
  <si>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</si>
  <si>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</si>
  <si>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</si>
  <si>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</si>
  <si>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</si>
  <si>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</si>
  <si>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</si>
  <si>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</si>
  <si>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</si>
  <si>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</si>
  <si>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</si>
  <si>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</si>
  <si>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</si>
  <si>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</si>
  <si>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</si>
  <si>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</si>
  <si>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</si>
  <si>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</si>
  <si>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</si>
  <si>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</si>
  <si>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</si>
  <si>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</si>
  <si>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</si>
  <si>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</si>
  <si>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</si>
  <si>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</si>
  <si>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</si>
  <si>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</si>
  <si>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</si>
  <si>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</si>
  <si>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</si>
  <si>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</si>
  <si>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</si>
  <si>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</si>
  <si>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</si>
  <si>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</si>
  <si>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</si>
  <si>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</si>
  <si>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</si>
  <si>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</si>
  <si>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</si>
  <si>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</si>
  <si>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</si>
  <si>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</si>
  <si>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</si>
  <si>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</si>
  <si>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</si>
  <si>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</si>
  <si>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</si>
  <si>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</si>
  <si>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</si>
  <si>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</si>
  <si>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</si>
  <si>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</si>
  <si>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</si>
  <si>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</si>
  <si>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</si>
  <si>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</si>
  <si>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</si>
  <si>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</si>
  <si>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</si>
  <si>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</si>
  <si>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</si>
  <si>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</si>
  <si>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</si>
  <si>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</si>
  <si>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</si>
  <si>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</si>
  <si>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</si>
  <si>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</si>
  <si>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</si>
  <si>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</si>
  <si>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</si>
  <si>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</si>
  <si>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</si>
  <si>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</si>
  <si>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</si>
  <si>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</si>
  <si>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</si>
  <si>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</si>
  <si>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</si>
  <si>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</si>
  <si>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</si>
  <si>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</si>
  <si>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</si>
  <si>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</si>
  <si>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</si>
  <si>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</si>
  <si>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</si>
  <si>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</si>
  <si>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</si>
  <si>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</si>
  <si>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</si>
  <si>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</si>
  <si>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</si>
  <si>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</si>
  <si>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</si>
  <si>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</si>
  <si>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</si>
  <si>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</si>
  <si>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</si>
  <si>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</si>
  <si>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</si>
  <si>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</si>
  <si>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</si>
  <si>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</si>
  <si>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</si>
  <si>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</si>
  <si>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</si>
  <si>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</si>
  <si>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</si>
  <si>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</si>
  <si>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</si>
  <si>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</si>
  <si>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</si>
  <si>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</si>
  <si>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</si>
  <si>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</si>
  <si>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</si>
  <si>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</si>
  <si>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</si>
  <si>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</si>
  <si>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</si>
  <si>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</si>
  <si>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</si>
  <si>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</si>
  <si>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</si>
  <si>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</si>
  <si>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</si>
  <si>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</si>
  <si>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</si>
  <si>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</si>
  <si>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</si>
  <si>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</si>
  <si>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</si>
  <si>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</si>
  <si>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</si>
  <si>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</si>
  <si>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</si>
  <si>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</si>
  <si>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</si>
  <si>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</si>
  <si>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</si>
  <si>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</si>
  <si>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</si>
  <si>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</si>
  <si>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</si>
  <si>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</si>
  <si>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</si>
  <si>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</si>
  <si>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</si>
  <si>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</si>
  <si>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</si>
  <si>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</si>
  <si>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</si>
  <si>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</si>
  <si>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</si>
  <si>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</si>
  <si>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</si>
  <si>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</si>
  <si>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</si>
  <si>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</si>
  <si>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</si>
  <si>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</si>
  <si>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</si>
  <si>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</si>
  <si>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</si>
  <si>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</si>
  <si>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</si>
  <si>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</si>
  <si>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</si>
  <si>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</si>
  <si>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</si>
  <si>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</si>
  <si>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</si>
  <si>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</si>
  <si>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</si>
  <si>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</si>
  <si>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</si>
  <si>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</si>
  <si>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</si>
  <si>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</si>
  <si>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</si>
  <si>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</si>
  <si>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</si>
  <si>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</si>
  <si>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</si>
  <si>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</si>
  <si>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</si>
  <si>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</si>
  <si>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</si>
  <si>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</si>
  <si>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</si>
  <si>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</si>
  <si>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</si>
  <si>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</si>
  <si>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</si>
  <si>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</si>
  <si>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</si>
  <si>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</si>
  <si>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</si>
  <si>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</si>
  <si>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</si>
  <si>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</si>
  <si>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</si>
  <si>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</si>
  <si>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</si>
  <si>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</si>
  <si>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</si>
  <si>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</si>
  <si>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</si>
  <si>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</si>
  <si>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</si>
  <si>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</si>
  <si>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</si>
  <si>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</si>
  <si>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</si>
  <si>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</si>
  <si>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</si>
  <si>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</si>
  <si>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</si>
  <si>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</si>
  <si>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</si>
  <si>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</si>
  <si>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</si>
  <si>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</si>
  <si>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</si>
  <si>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</si>
  <si>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</si>
  <si>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</si>
  <si>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</si>
  <si>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</si>
  <si>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</si>
  <si>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</si>
  <si>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</si>
  <si>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</si>
  <si>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</si>
  <si>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</si>
  <si>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</si>
  <si>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</si>
  <si>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</si>
  <si>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</si>
  <si>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</si>
  <si>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</si>
  <si>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</si>
  <si>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</si>
  <si>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</si>
  <si>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</si>
  <si>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</si>
  <si>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</si>
  <si>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</si>
  <si>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</si>
  <si>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</si>
  <si>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</si>
  <si>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</si>
  <si>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</si>
  <si>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</si>
  <si>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</si>
  <si>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</si>
  <si>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</si>
  <si>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</si>
  <si>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</si>
  <si>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</si>
  <si>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</si>
  <si>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</si>
  <si>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</si>
  <si>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</si>
  <si>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</si>
  <si>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</si>
  <si>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</si>
  <si>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</si>
  <si>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</si>
  <si>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</si>
  <si>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</si>
  <si>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</si>
  <si>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</si>
  <si>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</si>
  <si>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</si>
  <si>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</si>
  <si>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</si>
  <si>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</si>
  <si>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</si>
  <si>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</si>
  <si>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</si>
  <si>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</si>
  <si>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</si>
  <si>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</si>
  <si>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</si>
  <si>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</si>
  <si>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</si>
  <si>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</si>
  <si>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</si>
  <si>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</si>
  <si>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</si>
  <si>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</si>
  <si>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</si>
  <si>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</si>
  <si>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</si>
  <si>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</si>
  <si>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</si>
  <si>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</si>
  <si>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</si>
  <si>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</si>
  <si>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</si>
  <si>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</si>
  <si>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</si>
  <si>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</si>
  <si>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</si>
  <si>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</si>
  <si>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</si>
  <si>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</si>
  <si>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</si>
  <si>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</si>
  <si>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</si>
  <si>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</si>
  <si>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</si>
  <si>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</si>
  <si>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</si>
  <si>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</si>
  <si>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</si>
  <si>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</si>
  <si>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</si>
  <si>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</si>
  <si>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</si>
  <si>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</si>
  <si>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</si>
  <si>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</si>
  <si>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</si>
  <si>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</si>
  <si>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</si>
  <si>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</si>
  <si>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</si>
  <si>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</si>
  <si>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</si>
  <si>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</si>
  <si>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</si>
  <si>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</si>
  <si>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</si>
  <si>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</si>
  <si>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</si>
  <si>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</si>
  <si>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</si>
  <si>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</si>
  <si>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</si>
  <si>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</si>
  <si>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</si>
  <si>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</si>
  <si>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</si>
  <si>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</si>
  <si>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</si>
  <si>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</si>
  <si>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</si>
  <si>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</si>
  <si>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</si>
  <si>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</si>
  <si>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</si>
  <si>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</si>
  <si>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</si>
  <si>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</si>
  <si>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</si>
  <si>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</si>
  <si>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</si>
  <si>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</si>
  <si>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</si>
  <si>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</si>
  <si>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</si>
  <si>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</si>
  <si>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</si>
  <si>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</si>
  <si>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</si>
  <si>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</si>
  <si>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</si>
  <si>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</si>
  <si>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</si>
  <si>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</si>
  <si>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</si>
  <si>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</si>
  <si>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</si>
  <si>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</si>
  <si>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</si>
  <si>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</si>
  <si>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</si>
  <si>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</si>
  <si>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</si>
  <si>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</si>
  <si>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</si>
  <si>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</si>
  <si>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</si>
  <si>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</si>
  <si>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</si>
  <si>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</si>
  <si>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</si>
  <si>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</si>
  <si>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</si>
  <si>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</si>
  <si>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</si>
  <si>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</si>
  <si>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</si>
  <si>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</si>
  <si>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</si>
  <si>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</si>
  <si>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</si>
  <si>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</si>
  <si>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</si>
  <si>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</si>
  <si>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</si>
  <si>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</si>
  <si>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</si>
  <si>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</si>
  <si>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</si>
  <si>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</si>
  <si>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</si>
  <si>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</si>
  <si>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</si>
  <si>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</si>
  <si>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</si>
  <si>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</si>
  <si>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</si>
  <si>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</si>
  <si>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</si>
  <si>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</si>
  <si>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</si>
  <si>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</si>
  <si>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</si>
  <si>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</si>
  <si>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</si>
  <si>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</si>
  <si>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</si>
  <si>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</si>
  <si>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</si>
  <si>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</si>
  <si>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</si>
  <si>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</si>
  <si>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</si>
  <si>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</si>
  <si>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</si>
  <si>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</si>
  <si>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</si>
  <si>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</si>
  <si>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</si>
  <si>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</si>
  <si>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</si>
  <si>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</si>
  <si>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</si>
  <si>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</si>
  <si>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</si>
  <si>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</si>
  <si>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</si>
  <si>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</si>
  <si>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</si>
  <si>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</si>
  <si>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</si>
  <si>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</si>
  <si>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</si>
  <si>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</si>
  <si>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</si>
  <si>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</si>
  <si>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</si>
  <si>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</si>
  <si>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</si>
  <si>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</si>
  <si>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</si>
  <si>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</si>
  <si>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</si>
  <si>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</si>
  <si>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</si>
  <si>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</si>
  <si>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</si>
  <si>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</si>
  <si>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</si>
  <si>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</si>
  <si>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</si>
  <si>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</si>
  <si>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</si>
  <si>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</si>
  <si>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</si>
  <si>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</si>
  <si>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</si>
  <si>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</si>
  <si>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</si>
  <si>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</si>
  <si>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</si>
  <si>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</si>
  <si>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</si>
  <si>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</si>
  <si>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</si>
  <si>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</si>
  <si>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</si>
  <si>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</si>
  <si>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</si>
  <si>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</si>
  <si>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</si>
  <si>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</si>
  <si>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</si>
  <si>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</si>
  <si>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</si>
  <si>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</si>
  <si>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</si>
  <si>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</si>
  <si>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</si>
  <si>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</si>
  <si>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</si>
  <si>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</si>
  <si>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</si>
  <si>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</si>
  <si>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</si>
  <si>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</si>
  <si>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</si>
  <si>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</si>
  <si>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</si>
  <si>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</si>
  <si>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</si>
  <si>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</si>
  <si>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</si>
  <si>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</si>
  <si>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</si>
  <si>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</si>
  <si>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</si>
  <si>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</si>
  <si>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</si>
  <si>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</si>
  <si>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</si>
  <si>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</si>
  <si>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</si>
  <si>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</si>
  <si>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</si>
  <si>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</si>
  <si>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</si>
  <si>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</si>
  <si>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</si>
  <si>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</si>
  <si>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</si>
  <si>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</si>
  <si>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</si>
  <si>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</si>
  <si>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</si>
  <si>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</si>
  <si>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</si>
  <si>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</si>
  <si>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</si>
  <si>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</si>
  <si>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</si>
  <si>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</si>
  <si>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</si>
  <si>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</si>
  <si>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</si>
  <si>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</si>
  <si>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</si>
  <si>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</si>
  <si>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</si>
  <si>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</si>
  <si>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</si>
  <si>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</si>
  <si>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</si>
  <si>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</si>
  <si>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</si>
  <si>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</si>
  <si>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</si>
  <si>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</si>
  <si>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</si>
  <si>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</si>
  <si>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</si>
  <si>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</si>
  <si>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</si>
  <si>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</si>
  <si>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</si>
  <si>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</si>
  <si>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</si>
  <si>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</si>
  <si>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</si>
  <si>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</si>
  <si>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</si>
  <si>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</si>
  <si>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</si>
  <si>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</si>
  <si>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</si>
  <si>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</si>
  <si>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</si>
  <si>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</si>
  <si>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</si>
  <si>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</si>
  <si>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</si>
  <si>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</si>
  <si>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</si>
  <si>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</si>
  <si>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</si>
  <si>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</si>
  <si>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</si>
  <si>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</si>
  <si>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</si>
  <si>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</si>
  <si>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</si>
  <si>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</si>
  <si>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</si>
  <si>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</si>
  <si>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</si>
  <si>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</si>
  <si>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</si>
  <si>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</si>
  <si>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</si>
  <si>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</si>
  <si>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</si>
  <si>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</si>
  <si>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</si>
  <si>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</si>
  <si>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</si>
  <si>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</si>
  <si>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</si>
  <si>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</si>
  <si>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</si>
  <si>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</si>
  <si>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</si>
  <si>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</si>
  <si>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</si>
  <si>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</si>
  <si>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</si>
  <si>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</si>
  <si>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</si>
  <si>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</si>
  <si>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</si>
  <si>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</si>
  <si>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</si>
  <si>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</si>
  <si>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</si>
  <si>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</si>
  <si>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</si>
  <si>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</si>
  <si>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</si>
  <si>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</si>
  <si>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</si>
  <si>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</si>
  <si>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</si>
  <si>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</si>
  <si>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</si>
  <si>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</si>
  <si>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</si>
  <si>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</si>
  <si>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</si>
  <si>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</si>
  <si>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</si>
  <si>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</si>
  <si>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</si>
  <si>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</si>
  <si>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</si>
  <si>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</si>
  <si>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</si>
  <si>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</si>
  <si>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</si>
  <si>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</si>
  <si>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</si>
  <si>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</si>
  <si>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</si>
  <si>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</si>
  <si>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</si>
  <si>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</si>
  <si>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</si>
  <si>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</si>
  <si>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</si>
  <si>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</si>
  <si>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</si>
  <si>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</si>
  <si>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</si>
  <si>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</si>
  <si>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</si>
  <si>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</si>
  <si>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</si>
  <si>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</si>
  <si>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</si>
  <si>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</si>
  <si>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</si>
  <si>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</si>
  <si>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</si>
  <si>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</si>
  <si>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</si>
  <si>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</si>
  <si>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</si>
  <si>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</si>
  <si>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</si>
  <si>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</si>
  <si>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</si>
  <si>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</si>
  <si>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</si>
  <si>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</si>
  <si>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</si>
  <si>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</si>
  <si>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</si>
  <si>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</si>
  <si>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</si>
  <si>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</si>
  <si>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</si>
  <si>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</si>
  <si>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</si>
  <si>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</si>
  <si>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</si>
  <si>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</si>
  <si>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</si>
  <si>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</si>
  <si>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</si>
  <si>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</si>
  <si>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</si>
  <si>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</si>
  <si>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</si>
  <si>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</si>
  <si>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</si>
  <si>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</si>
  <si>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</si>
  <si>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</si>
  <si>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</si>
  <si>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</si>
  <si>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</si>
  <si>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</si>
  <si>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</si>
  <si>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</si>
  <si>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</si>
  <si>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</si>
  <si>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</si>
  <si>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</si>
  <si>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</si>
  <si>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</si>
  <si>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</si>
  <si>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</si>
  <si>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</si>
  <si>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</si>
  <si>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</si>
  <si>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</si>
  <si>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</si>
  <si>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</si>
  <si>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</si>
  <si>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</si>
  <si>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</si>
  <si>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</si>
  <si>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</si>
  <si>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</si>
  <si>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</si>
  <si>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</si>
  <si>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</si>
  <si>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</si>
  <si>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</si>
  <si>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</si>
  <si>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</si>
  <si>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</si>
  <si>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</si>
  <si>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</si>
  <si>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</si>
  <si>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</si>
  <si>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</si>
  <si>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</si>
  <si>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</si>
  <si>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</si>
  <si>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</si>
  <si>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</si>
  <si>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</si>
  <si>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</si>
  <si>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</si>
  <si>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</si>
  <si>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</si>
  <si>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</si>
  <si>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</si>
  <si>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</si>
  <si>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</si>
  <si>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</si>
  <si>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</si>
  <si>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</si>
  <si>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</si>
  <si>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</si>
  <si>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</si>
  <si>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</si>
  <si>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</si>
  <si>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</si>
  <si>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</si>
  <si>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</si>
  <si>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</si>
  <si>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</si>
  <si>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</si>
  <si>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</si>
  <si>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</si>
  <si>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</si>
  <si>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</si>
  <si>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</si>
  <si>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</si>
  <si>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</si>
  <si>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</si>
  <si>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</si>
  <si>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</si>
  <si>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</si>
  <si>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</si>
  <si>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</si>
  <si>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</si>
  <si>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</si>
  <si>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</si>
  <si>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</si>
  <si>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</si>
  <si>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</si>
  <si>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</si>
  <si>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</si>
  <si>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</si>
  <si>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</si>
  <si>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</si>
  <si>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</si>
  <si>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</si>
  <si>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</si>
  <si>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</si>
  <si>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</si>
  <si>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</si>
  <si>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</si>
  <si>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</si>
  <si>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</si>
  <si>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</si>
  <si>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</si>
  <si>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</si>
  <si>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</si>
  <si>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</si>
  <si>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</si>
  <si>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</si>
  <si>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</si>
  <si>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</si>
  <si>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</si>
  <si>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</si>
  <si>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</si>
  <si>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</si>
  <si>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</si>
  <si>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</si>
  <si>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</si>
  <si>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</si>
  <si>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</si>
  <si>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</si>
  <si>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</si>
  <si>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</si>
  <si>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</si>
  <si>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</si>
  <si>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</si>
  <si>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</si>
  <si>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</si>
  <si>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</si>
  <si>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</si>
  <si>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</si>
  <si>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</si>
  <si>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</si>
  <si>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</si>
  <si>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</si>
  <si>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</si>
  <si>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</si>
  <si>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</si>
  <si>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</si>
  <si>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</si>
  <si>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</si>
  <si>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</si>
  <si>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</si>
  <si>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</si>
  <si>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</si>
  <si>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</si>
  <si>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</si>
  <si>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</si>
  <si>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</si>
  <si>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</si>
  <si>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</si>
  <si>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</si>
  <si>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</si>
  <si>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</si>
  <si>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</si>
  <si>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</si>
  <si>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</si>
  <si>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</si>
  <si>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</si>
  <si>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</si>
  <si>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</si>
  <si>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</si>
  <si>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</si>
  <si>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</si>
  <si>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</si>
  <si>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</si>
  <si>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</si>
  <si>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</si>
  <si>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</si>
  <si>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</si>
  <si>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</si>
  <si>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</si>
  <si>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</si>
  <si>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</si>
  <si>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</si>
  <si>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</si>
  <si>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</si>
  <si>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</si>
  <si>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</si>
  <si>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</si>
  <si>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</si>
  <si>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</si>
  <si>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</si>
  <si>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</si>
  <si>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</si>
  <si>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</si>
  <si>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</si>
  <si>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</si>
  <si>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</si>
  <si>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</si>
  <si>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</si>
  <si>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</si>
  <si>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</si>
  <si>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</si>
  <si>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</si>
  <si>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</si>
  <si>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</si>
  <si>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</si>
  <si>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</si>
  <si>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</si>
  <si>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</si>
  <si>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</si>
  <si>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</si>
  <si>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</si>
  <si>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</si>
  <si>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</si>
  <si>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</si>
  <si>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</si>
  <si>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</si>
  <si>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</si>
  <si>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</si>
  <si>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</si>
  <si>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</si>
  <si>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</si>
  <si>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</si>
  <si>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</si>
  <si>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</si>
  <si>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</si>
  <si>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</si>
  <si>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</si>
  <si>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</si>
  <si>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</si>
  <si>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</si>
  <si>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</si>
  <si>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</si>
  <si>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</si>
  <si>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</si>
  <si>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</si>
  <si>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</si>
  <si>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</si>
  <si>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</si>
  <si>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</si>
  <si>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</si>
  <si>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</si>
  <si>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</si>
  <si>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</si>
  <si>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</si>
  <si>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</si>
  <si>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</si>
  <si>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</si>
  <si>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</si>
  <si>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</si>
  <si>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</si>
  <si>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</si>
  <si>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</si>
  <si>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</si>
  <si>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</si>
  <si>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</si>
  <si>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</si>
  <si>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</si>
  <si>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</si>
  <si>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</si>
  <si>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</si>
  <si>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</si>
  <si>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</si>
  <si>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</si>
  <si>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</si>
  <si>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</si>
  <si>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</si>
  <si>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</si>
  <si>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</si>
  <si>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</si>
  <si>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</si>
  <si>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</si>
  <si>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</si>
  <si>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</si>
  <si>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</si>
  <si>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</si>
  <si>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</si>
  <si>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</si>
  <si>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</si>
  <si>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</si>
  <si>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</si>
  <si>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</si>
  <si>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</si>
  <si>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</si>
  <si>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</si>
  <si>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</si>
  <si>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</si>
  <si>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</si>
  <si>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</si>
  <si>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</si>
  <si>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</si>
  <si>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</si>
  <si>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</si>
  <si>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</si>
  <si>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</si>
  <si>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</si>
  <si>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</si>
  <si>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</si>
  <si>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</si>
  <si>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</si>
  <si>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</si>
  <si>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</si>
  <si>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</si>
  <si>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</si>
  <si>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</si>
  <si>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</si>
  <si>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</si>
  <si>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</si>
  <si>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</si>
  <si>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</si>
  <si>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</si>
  <si>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</si>
  <si>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</si>
  <si>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</si>
  <si>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</si>
  <si>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</si>
  <si>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</si>
  <si>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</si>
  <si>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</si>
  <si>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</si>
  <si>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</si>
  <si>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</si>
  <si>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</si>
  <si>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</si>
  <si>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</si>
  <si>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</si>
  <si>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</si>
  <si>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</si>
  <si>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</si>
  <si>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</si>
  <si>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</si>
  <si>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</si>
  <si>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</si>
  <si>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</si>
  <si>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</si>
  <si>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</si>
  <si>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</si>
  <si>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</si>
  <si>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</si>
  <si>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</si>
  <si>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</si>
  <si>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</si>
  <si>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</si>
  <si>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</si>
  <si>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</si>
  <si>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</si>
  <si>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</si>
  <si>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</si>
  <si>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</si>
  <si>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</si>
  <si>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</si>
  <si>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</si>
  <si>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</si>
  <si>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</si>
  <si>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</si>
  <si>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</si>
  <si>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</si>
  <si>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</si>
  <si>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</si>
  <si>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</si>
  <si>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</si>
  <si>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</si>
  <si>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</si>
  <si>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</si>
  <si>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</si>
  <si>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</si>
  <si>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</si>
  <si>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</si>
  <si>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</si>
  <si>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</si>
  <si>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</si>
  <si>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</si>
  <si>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</si>
  <si>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</si>
  <si>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</si>
  <si>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</si>
  <si>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</si>
  <si>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</si>
  <si>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</si>
  <si>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</si>
  <si>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</si>
  <si>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</si>
  <si>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</si>
  <si>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</si>
  <si>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</si>
  <si>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</si>
  <si>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</si>
  <si>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</si>
  <si>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</si>
  <si>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</si>
  <si>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</si>
  <si>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</si>
  <si>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</si>
  <si>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</si>
  <si>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</si>
  <si>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</si>
  <si>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</si>
  <si>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</si>
  <si>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</si>
  <si>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</si>
  <si>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</si>
  <si>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</si>
  <si>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</si>
  <si>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</si>
  <si>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</si>
  <si>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</si>
  <si>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</si>
  <si>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</si>
  <si>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</si>
  <si>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</si>
  <si>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</si>
  <si>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</si>
  <si>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</si>
  <si>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</si>
  <si>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</si>
  <si>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</si>
  <si>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</si>
  <si>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</si>
  <si>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</si>
  <si>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</si>
  <si>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</si>
  <si>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</si>
  <si>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</si>
  <si>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</si>
  <si>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</si>
  <si>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</si>
  <si>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</si>
  <si>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</si>
  <si>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</si>
  <si>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</si>
  <si>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</si>
  <si>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</si>
  <si>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</si>
  <si>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</si>
  <si>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</si>
  <si>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</si>
  <si>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</si>
  <si>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</si>
  <si>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</si>
  <si>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</si>
  <si>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</si>
  <si>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</si>
  <si>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</si>
  <si>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</si>
  <si>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</si>
  <si>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</si>
  <si>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</si>
  <si>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</si>
  <si>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</si>
  <si>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</si>
  <si>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</si>
  <si>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</si>
  <si>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</si>
  <si>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</si>
  <si>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</si>
  <si>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</si>
  <si>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</si>
  <si>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</si>
  <si>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</si>
  <si>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</si>
  <si>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</si>
  <si>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</si>
  <si>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</si>
  <si>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</si>
  <si>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</si>
  <si>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</si>
  <si>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</si>
  <si>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</si>
  <si>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</si>
  <si>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</si>
  <si>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</si>
  <si>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</si>
  <si>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</si>
  <si>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</si>
  <si>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</si>
  <si>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</si>
  <si>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</si>
  <si>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</si>
  <si>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</si>
  <si>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</si>
  <si>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</si>
  <si>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</si>
  <si>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</si>
  <si>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</si>
  <si>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</si>
  <si>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</si>
  <si>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</si>
  <si>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</si>
  <si>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</si>
  <si>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</si>
  <si>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</si>
  <si>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</si>
  <si>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</si>
  <si>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</si>
  <si>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</si>
  <si>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</si>
  <si>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</si>
  <si>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</si>
  <si>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</si>
  <si>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</si>
  <si>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</si>
  <si>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</si>
  <si>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</si>
  <si>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</si>
  <si>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</si>
  <si>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</si>
  <si>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</si>
  <si>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</si>
  <si>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</si>
  <si>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</si>
  <si>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</si>
  <si>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</si>
  <si>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</si>
  <si>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</si>
  <si>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</si>
  <si>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</si>
  <si>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</si>
  <si>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</si>
  <si>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</si>
  <si>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</si>
  <si>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</si>
  <si>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</si>
  <si>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</si>
  <si>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</si>
  <si>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</si>
  <si>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</si>
  <si>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</si>
  <si>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</si>
  <si>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</si>
  <si>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</si>
  <si>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</si>
  <si>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</si>
  <si>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</si>
  <si>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</si>
  <si>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</si>
  <si>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</si>
  <si>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</si>
  <si>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</si>
  <si>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</si>
  <si>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</si>
  <si>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</si>
  <si>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</si>
  <si>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</si>
  <si>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</si>
  <si>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</si>
  <si>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</si>
  <si>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</si>
  <si>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</si>
  <si>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</si>
  <si>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</si>
  <si>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</si>
  <si>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</si>
  <si>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</si>
  <si>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</si>
  <si>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</si>
  <si>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</si>
  <si>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</si>
  <si>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</si>
  <si>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</si>
  <si>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</si>
  <si>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</si>
  <si>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</si>
  <si>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</si>
  <si>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</si>
  <si>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</si>
  <si>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</si>
  <si>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</si>
  <si>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</si>
  <si>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</si>
  <si>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</si>
  <si>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</si>
  <si>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</si>
  <si>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</si>
  <si>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</si>
  <si>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</si>
  <si>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</si>
  <si>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</si>
  <si>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</si>
  <si>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</si>
  <si>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</si>
  <si>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</si>
  <si>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</si>
  <si>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</si>
  <si>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</si>
  <si>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</si>
  <si>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</si>
  <si>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</si>
  <si>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</si>
  <si>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</si>
  <si>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</si>
  <si>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</si>
  <si>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</si>
  <si>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</si>
  <si>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</si>
  <si>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</si>
  <si>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</si>
  <si>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</si>
  <si>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</si>
  <si>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</si>
  <si>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</si>
  <si>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</si>
  <si>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</si>
  <si>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</si>
  <si>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</si>
  <si>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</si>
  <si>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</si>
  <si>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</si>
  <si>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</si>
  <si>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</si>
  <si>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</si>
  <si>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</si>
  <si>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</si>
  <si>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</si>
  <si>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</si>
  <si>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</si>
  <si>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</si>
  <si>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</si>
  <si>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</si>
  <si>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</si>
  <si>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</si>
  <si>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</si>
  <si>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</si>
  <si>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</si>
  <si>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</si>
  <si>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</si>
  <si>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</si>
  <si>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</si>
  <si>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</si>
  <si>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</si>
  <si>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</si>
  <si>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</si>
  <si>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</si>
  <si>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</si>
  <si>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</si>
  <si>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</si>
  <si>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</si>
  <si>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</si>
  <si>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</si>
  <si>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</si>
  <si>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</si>
  <si>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</si>
  <si>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</si>
  <si>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</si>
  <si>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</si>
  <si>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</si>
  <si>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</si>
  <si>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</si>
  <si>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</si>
  <si>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</si>
  <si>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</si>
  <si>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</si>
  <si>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</si>
  <si>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</si>
  <si>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</si>
  <si>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</si>
  <si>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</si>
  <si>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</si>
  <si>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</si>
  <si>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</si>
  <si>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</si>
  <si>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</si>
  <si>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</si>
  <si>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</si>
  <si>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</si>
  <si>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</si>
  <si>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</si>
  <si>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</si>
  <si>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</si>
  <si>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</si>
  <si>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</si>
  <si>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</si>
  <si>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</si>
  <si>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</si>
  <si>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</si>
  <si>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</si>
  <si>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</si>
  <si>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</si>
  <si>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</si>
  <si>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</si>
  <si>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</si>
  <si>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</si>
  <si>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</si>
  <si>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</si>
  <si>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</si>
  <si>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</si>
  <si>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</si>
  <si>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</si>
  <si>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</si>
  <si>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</si>
  <si>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</si>
  <si>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</si>
  <si>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</si>
  <si>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</si>
  <si>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</si>
  <si>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</si>
  <si>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</si>
  <si>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</si>
  <si>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</si>
  <si>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</si>
  <si>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</si>
  <si>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</si>
  <si>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</si>
  <si>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</si>
  <si>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</si>
  <si>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</si>
  <si>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</si>
  <si>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</si>
  <si>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</si>
  <si>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</si>
  <si>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</si>
  <si>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</si>
  <si>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</si>
  <si>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</si>
  <si>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</si>
  <si>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</si>
  <si>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</si>
  <si>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</si>
  <si>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</si>
  <si>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</si>
  <si>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</si>
  <si>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</si>
  <si>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</si>
  <si>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</si>
  <si>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</si>
  <si>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</si>
  <si>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</si>
  <si>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</si>
  <si>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</si>
  <si>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</si>
  <si>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</si>
  <si>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</si>
  <si>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</si>
  <si>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</si>
  <si>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</si>
  <si>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</si>
  <si>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</si>
  <si>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</si>
  <si>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</si>
  <si>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</si>
  <si>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</si>
  <si>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</si>
  <si>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</si>
  <si>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</si>
  <si>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</si>
  <si>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</si>
  <si>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</si>
  <si>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</si>
  <si>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</si>
  <si>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</si>
  <si>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</si>
  <si>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</si>
  <si>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</si>
  <si>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</si>
  <si>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</si>
  <si>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</si>
  <si>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</si>
  <si>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</si>
  <si>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</si>
  <si>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</si>
  <si>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</si>
  <si>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</si>
  <si>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</si>
  <si>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</si>
  <si>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</si>
  <si>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</si>
  <si>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</si>
  <si>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</si>
  <si>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</si>
  <si>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</si>
  <si>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</si>
  <si>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</si>
  <si>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</si>
  <si>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</si>
  <si>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</si>
  <si>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</si>
  <si>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</si>
  <si>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</si>
  <si>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</si>
  <si>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</si>
  <si>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</si>
  <si>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</si>
  <si>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</si>
  <si>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</si>
  <si>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</si>
  <si>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</si>
  <si>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</si>
  <si>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</si>
  <si>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</si>
  <si>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</si>
  <si>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</si>
  <si>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</si>
  <si>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</si>
  <si>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</si>
  <si>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</si>
  <si>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</si>
  <si>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</si>
  <si>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</si>
  <si>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</si>
  <si>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</si>
  <si>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</si>
  <si>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</si>
  <si>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</si>
  <si>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</si>
  <si>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</si>
  <si>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</si>
  <si>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</si>
  <si>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</si>
  <si>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</si>
  <si>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</si>
  <si>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</si>
  <si>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</si>
  <si>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</si>
  <si>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</si>
  <si>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</si>
  <si>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</si>
  <si>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</si>
  <si>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</si>
  <si>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</si>
  <si>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</si>
  <si>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</si>
  <si>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</si>
  <si>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</si>
  <si>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</si>
  <si>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</si>
  <si>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</si>
  <si>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</si>
  <si>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</si>
  <si>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</si>
  <si>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</si>
  <si>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</si>
  <si>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</si>
  <si>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</si>
  <si>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</si>
  <si>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</si>
  <si>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</si>
  <si>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</si>
  <si>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</si>
  <si>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</si>
  <si>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</si>
  <si>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</si>
  <si>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</si>
  <si>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</si>
  <si>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</si>
  <si>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</si>
  <si>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</si>
  <si>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</si>
  <si>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</si>
  <si>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</si>
  <si>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</si>
  <si>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</si>
  <si>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</si>
  <si>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</si>
  <si>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</si>
  <si>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</si>
  <si>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</si>
  <si>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</si>
  <si>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</si>
  <si>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</si>
  <si>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</si>
  <si>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</si>
  <si>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</si>
  <si>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</si>
  <si>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</si>
  <si>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</si>
  <si>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</si>
  <si>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</si>
  <si>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</si>
  <si>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</si>
  <si>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</si>
  <si>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</si>
  <si>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</si>
  <si>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</si>
  <si>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</si>
  <si>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</si>
  <si>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</si>
  <si>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</si>
  <si>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</si>
  <si>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</si>
  <si>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</si>
  <si>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</si>
  <si>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</si>
  <si>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</si>
  <si>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</si>
  <si>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</si>
  <si>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</si>
  <si>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</si>
  <si>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</si>
  <si>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</si>
  <si>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</si>
  <si>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</si>
  <si>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</si>
  <si>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</si>
  <si>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</si>
  <si>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</si>
  <si>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</si>
  <si>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</si>
  <si>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</si>
  <si>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</si>
  <si>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</si>
  <si>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</si>
  <si>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</si>
  <si>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</si>
  <si>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</si>
  <si>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</si>
  <si>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</si>
  <si>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</si>
  <si>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</si>
  <si>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</si>
  <si>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</si>
  <si>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</si>
  <si>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</si>
  <si>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</si>
  <si>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</si>
  <si>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</si>
  <si>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</si>
  <si>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</si>
  <si>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</si>
  <si>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</si>
  <si>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</si>
  <si>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</si>
  <si>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</si>
  <si>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</si>
  <si>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</si>
  <si>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</si>
  <si>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</si>
  <si>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</si>
  <si>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</si>
  <si>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</si>
  <si>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</si>
  <si>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</si>
  <si>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</si>
  <si>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</si>
  <si>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</si>
  <si>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</si>
  <si>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</si>
  <si>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</si>
  <si>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</si>
  <si>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</si>
  <si>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</si>
  <si>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</si>
  <si>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</si>
  <si>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</si>
  <si>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</si>
  <si>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</si>
  <si>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</si>
  <si>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</si>
  <si>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</si>
  <si>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</si>
  <si>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</si>
  <si>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</si>
  <si>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</si>
  <si>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</si>
  <si>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</si>
  <si>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</si>
  <si>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</si>
  <si>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</si>
  <si>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</si>
  <si>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</si>
  <si>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</si>
  <si>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</si>
  <si>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</si>
  <si>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</si>
  <si>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</si>
  <si>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</si>
  <si>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</si>
  <si>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</si>
  <si>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</si>
  <si>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</si>
  <si>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</si>
  <si>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</si>
  <si>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</si>
  <si>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</si>
  <si>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</si>
  <si>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</si>
  <si>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</si>
  <si>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</si>
  <si>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</si>
  <si>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</si>
  <si>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</si>
  <si>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</si>
  <si>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</si>
  <si>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</si>
  <si>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</si>
  <si>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</si>
  <si>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</si>
  <si>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</si>
  <si>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</si>
  <si>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</si>
  <si>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</si>
  <si>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</si>
  <si>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</si>
  <si>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</si>
  <si>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</si>
  <si>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</si>
  <si>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</si>
  <si>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</si>
  <si>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</si>
  <si>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</si>
  <si>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</si>
  <si>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</si>
  <si>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</si>
  <si>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</si>
  <si>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</si>
  <si>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</si>
  <si>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</si>
  <si>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</si>
  <si>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</si>
  <si>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</si>
  <si>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</si>
  <si>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</si>
  <si>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</si>
  <si>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</si>
  <si>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</si>
  <si>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</si>
  <si>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</si>
  <si>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</si>
  <si>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</si>
  <si>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</si>
  <si>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</si>
  <si>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</si>
  <si>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</si>
  <si>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</si>
  <si>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</si>
  <si>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</si>
  <si>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</si>
  <si>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</si>
  <si>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</si>
  <si>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</si>
  <si>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</si>
  <si>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</si>
  <si>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</si>
  <si>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</si>
  <si>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</si>
  <si>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</si>
  <si>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</si>
  <si>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</si>
  <si>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</si>
  <si>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</si>
  <si>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</si>
  <si>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</si>
  <si>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</si>
  <si>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</si>
  <si>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</si>
  <si>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</si>
  <si>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</si>
  <si>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</si>
  <si>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</si>
  <si>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</si>
  <si>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</si>
  <si>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</si>
  <si>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</si>
  <si>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</si>
  <si>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</si>
  <si>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</si>
  <si>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</si>
  <si>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</si>
  <si>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</si>
  <si>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</si>
  <si>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</si>
  <si>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</si>
  <si>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</si>
  <si>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</si>
  <si>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</si>
  <si>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</si>
  <si>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</si>
  <si>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</si>
  <si>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</si>
  <si>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</si>
  <si>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</si>
  <si>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</si>
  <si>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</si>
  <si>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</si>
  <si>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</si>
  <si>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</si>
  <si>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</si>
  <si>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</si>
  <si>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</si>
  <si>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</si>
  <si>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</si>
  <si>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</si>
  <si>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</si>
  <si>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</si>
  <si>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</si>
  <si>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</si>
  <si>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</si>
  <si>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</si>
  <si>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</si>
  <si>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</si>
  <si>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</si>
  <si>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</si>
  <si>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</si>
  <si>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</si>
  <si>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</si>
  <si>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</si>
  <si>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</si>
  <si>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</si>
  <si>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</si>
  <si>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</si>
  <si>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</si>
  <si>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</si>
  <si>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</si>
  <si>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</si>
  <si>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</si>
  <si>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</si>
  <si>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</si>
  <si>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</si>
  <si>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</si>
  <si>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</si>
  <si>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</si>
  <si>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</si>
  <si>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</si>
  <si>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</si>
  <si>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</si>
  <si>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</si>
  <si>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</si>
  <si>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</si>
  <si>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</si>
  <si>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</si>
  <si>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</si>
  <si>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</si>
  <si>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</si>
  <si>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</si>
  <si>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</si>
  <si>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</si>
  <si>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</si>
  <si>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</si>
  <si>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</si>
  <si>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</si>
  <si>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</si>
  <si>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</si>
  <si>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</si>
  <si>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</si>
  <si>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</si>
  <si>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</si>
  <si>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</si>
  <si>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</si>
  <si>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</si>
  <si>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</si>
  <si>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</si>
  <si>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</si>
  <si>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</si>
  <si>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</si>
  <si>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</si>
  <si>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</si>
  <si>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</si>
  <si>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</si>
  <si>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</si>
  <si>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</si>
  <si>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</si>
  <si>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</si>
  <si>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</si>
  <si>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</si>
  <si>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</si>
  <si>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</si>
  <si>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</si>
  <si>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</si>
  <si>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</si>
  <si>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</si>
  <si>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</si>
  <si>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</si>
  <si>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</si>
  <si>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</si>
  <si>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</si>
  <si>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</si>
  <si>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</si>
  <si>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</si>
  <si>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</si>
  <si>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</si>
  <si>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</si>
  <si>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</si>
  <si>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</si>
  <si>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</si>
  <si>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</si>
  <si>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</si>
  <si>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</si>
  <si>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</si>
  <si>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</si>
  <si>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</si>
  <si>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</si>
  <si>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</si>
  <si>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</si>
  <si>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</si>
  <si>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</si>
  <si>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</si>
  <si>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</si>
  <si>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</si>
  <si>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</si>
  <si>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</si>
  <si>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</si>
  <si>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</si>
  <si>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</si>
  <si>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</si>
  <si>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</si>
  <si>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</si>
  <si>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</si>
  <si>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</si>
  <si>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</si>
  <si>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</si>
  <si>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</si>
  <si>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</si>
  <si>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</si>
  <si>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</si>
  <si>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</si>
  <si>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</si>
  <si>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</si>
  <si>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</si>
  <si>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</si>
  <si>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</si>
  <si>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</si>
  <si>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</si>
  <si>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</si>
  <si>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</si>
  <si>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</si>
  <si>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</si>
  <si>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</si>
  <si>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</si>
  <si>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</si>
  <si>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</si>
  <si>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</si>
  <si>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</si>
  <si>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</si>
  <si>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</si>
  <si>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</si>
  <si>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</si>
  <si>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</si>
  <si>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</si>
  <si>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</si>
  <si>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</si>
  <si>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</si>
  <si>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</si>
  <si>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</si>
  <si>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</si>
  <si>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</si>
  <si>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</si>
  <si>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</si>
  <si>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</si>
  <si>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</si>
  <si>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</si>
  <si>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</si>
  <si>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</si>
  <si>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</si>
  <si>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</si>
  <si>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</si>
  <si>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</si>
  <si>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</si>
  <si>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</si>
  <si>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</si>
  <si>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</si>
  <si>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</si>
  <si>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</si>
  <si>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</si>
  <si>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</si>
  <si>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</si>
  <si>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</si>
  <si>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</si>
  <si>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</si>
  <si>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</si>
  <si>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</si>
  <si>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</si>
  <si>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</si>
  <si>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</si>
  <si>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</si>
  <si>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</si>
  <si>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</si>
  <si>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</si>
  <si>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</si>
  <si>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</si>
  <si>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</si>
  <si>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</si>
  <si>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</si>
  <si>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</si>
  <si>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</si>
  <si>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</si>
  <si>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</si>
  <si>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</si>
  <si>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</si>
  <si>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</si>
  <si>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</si>
  <si>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</si>
  <si>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</si>
  <si>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</si>
  <si>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</si>
  <si>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</si>
  <si>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</si>
  <si>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</si>
  <si>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</si>
  <si>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</si>
  <si>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</si>
  <si>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</si>
  <si>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</si>
  <si>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</si>
  <si>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</si>
  <si>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</si>
  <si>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</si>
  <si>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</si>
  <si>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</si>
  <si>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</si>
  <si>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</si>
  <si>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</si>
  <si>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</si>
  <si>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</si>
  <si>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</si>
  <si>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</si>
  <si>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</si>
  <si>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</si>
  <si>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</si>
  <si>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</si>
  <si>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</si>
  <si>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</si>
  <si>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</si>
  <si>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</si>
  <si>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</si>
  <si>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</si>
  <si>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</si>
  <si>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</si>
  <si>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</si>
  <si>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</si>
  <si>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</si>
  <si>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</si>
  <si>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</si>
  <si>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</si>
  <si>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</si>
  <si>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</si>
  <si>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</si>
  <si>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</si>
  <si>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</si>
  <si>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</si>
  <si>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</si>
  <si>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</si>
  <si>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</si>
  <si>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</si>
  <si>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</si>
  <si>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</si>
  <si>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</si>
  <si>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</si>
  <si>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</si>
  <si>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</si>
  <si>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</si>
  <si>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</si>
  <si>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</si>
  <si>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</si>
  <si>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</si>
  <si>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</si>
  <si>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</si>
  <si>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</si>
  <si>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</si>
  <si>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</si>
  <si>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</si>
  <si>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</si>
  <si>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</si>
  <si>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</si>
  <si>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</si>
  <si>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</si>
  <si>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</si>
  <si>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</si>
  <si>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</si>
  <si>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</si>
  <si>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</si>
  <si>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</si>
  <si>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</si>
  <si>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</si>
  <si>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</si>
  <si>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</si>
  <si>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</si>
  <si>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</si>
  <si>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</si>
  <si>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</si>
  <si>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</si>
  <si>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</si>
  <si>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</si>
  <si>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</si>
  <si>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</si>
  <si>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</si>
  <si>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</si>
  <si>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</si>
  <si>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</si>
  <si>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</si>
  <si>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</si>
  <si>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</si>
  <si>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</si>
  <si>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</si>
  <si>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</si>
  <si>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</si>
  <si>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</si>
  <si>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</si>
  <si>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</si>
  <si>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</si>
  <si>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</si>
  <si>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</si>
  <si>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</si>
  <si>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</si>
  <si>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</si>
  <si>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</si>
  <si>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</si>
  <si>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</si>
  <si>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</si>
  <si>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</si>
  <si>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</si>
  <si>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</si>
  <si>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</si>
  <si>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</si>
  <si>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</si>
  <si>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</si>
  <si>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</si>
  <si>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</si>
  <si>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</si>
  <si>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</si>
  <si>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</si>
  <si>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</si>
  <si>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</si>
  <si>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</si>
  <si>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</si>
  <si>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</si>
  <si>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</si>
  <si>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</si>
  <si>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</si>
  <si>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</si>
  <si>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</si>
  <si>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</si>
  <si>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</si>
  <si>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</si>
  <si>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</si>
  <si>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</si>
  <si>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</si>
  <si>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</si>
  <si>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</si>
  <si>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</si>
  <si>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</si>
  <si>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</si>
  <si>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</si>
  <si>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</si>
  <si>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</si>
  <si>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</si>
  <si>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</si>
  <si>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</si>
  <si>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</si>
  <si>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</si>
  <si>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</si>
  <si>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</si>
  <si>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</si>
  <si>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</si>
  <si>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</si>
  <si>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</si>
  <si>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</si>
  <si>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</si>
  <si>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</si>
  <si>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</si>
  <si>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</si>
  <si>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</si>
  <si>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</si>
  <si>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</si>
  <si>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</si>
  <si>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</si>
  <si>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</si>
  <si>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</si>
  <si>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</si>
  <si>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</si>
  <si>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</si>
  <si>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</si>
  <si>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</si>
  <si>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</si>
  <si>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</si>
  <si>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</si>
  <si>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</si>
  <si>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</si>
  <si>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</si>
  <si>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</si>
  <si>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</si>
  <si>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</si>
  <si>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</si>
  <si>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</si>
  <si>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</si>
  <si>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</si>
  <si>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</si>
  <si>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</si>
  <si>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</si>
  <si>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</si>
  <si>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</si>
  <si>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</si>
  <si>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</si>
  <si>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</si>
  <si>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</si>
  <si>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</si>
  <si>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</si>
  <si>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</si>
  <si>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</si>
  <si>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</si>
  <si>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</si>
  <si>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</si>
  <si>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</si>
  <si>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</si>
  <si>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</si>
  <si>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</si>
  <si>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</si>
  <si>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</si>
  <si>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</si>
  <si>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</si>
  <si>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</si>
  <si>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</si>
  <si>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</si>
  <si>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</si>
  <si>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</si>
  <si>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</si>
  <si>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</si>
  <si>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</si>
  <si>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</si>
  <si>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</si>
  <si>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</si>
  <si>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</si>
  <si>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</si>
  <si>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</si>
  <si>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</si>
  <si>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</si>
  <si>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</si>
  <si>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</si>
  <si>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</si>
  <si>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</si>
  <si>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</si>
  <si>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</si>
  <si>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</si>
  <si>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</si>
  <si>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</si>
  <si>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</si>
  <si>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</si>
  <si>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</si>
  <si>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</si>
  <si>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</si>
  <si>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</si>
  <si>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</si>
  <si>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</si>
  <si>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</si>
  <si>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</si>
  <si>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</si>
  <si>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</si>
  <si>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</si>
  <si>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</si>
  <si>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</si>
  <si>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</si>
  <si>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</si>
  <si>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</si>
  <si>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</si>
  <si>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</si>
  <si>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</si>
  <si>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</si>
  <si>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</si>
  <si>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</si>
  <si>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</si>
  <si>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</si>
  <si>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</si>
  <si>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</si>
  <si>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</si>
  <si>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</si>
  <si>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</si>
  <si>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</si>
  <si>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</si>
  <si>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</si>
  <si>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</si>
  <si>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</si>
  <si>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</si>
  <si>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</si>
  <si>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</si>
  <si>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</si>
  <si>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</si>
  <si>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</si>
  <si>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</si>
  <si>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</si>
  <si>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</si>
  <si>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</si>
  <si>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</si>
  <si>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</si>
  <si>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</si>
  <si>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</si>
  <si>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</si>
  <si>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</si>
  <si>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</si>
  <si>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</si>
  <si>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</si>
  <si>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</si>
  <si>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</si>
  <si>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</si>
  <si>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</si>
  <si>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</si>
  <si>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</si>
  <si>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</si>
  <si>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</si>
  <si>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</si>
  <si>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</si>
  <si>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</si>
  <si>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</si>
  <si>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</si>
  <si>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</si>
  <si>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</si>
  <si>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</si>
  <si>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</si>
  <si>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</si>
  <si>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</si>
  <si>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</si>
  <si>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</si>
  <si>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</si>
  <si>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</si>
  <si>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</si>
  <si>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</si>
  <si>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</si>
  <si>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</si>
  <si>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</si>
  <si>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</si>
  <si>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</si>
  <si>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</si>
  <si>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</si>
  <si>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</si>
  <si>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</si>
  <si>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</si>
  <si>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</si>
  <si>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</si>
  <si>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</si>
  <si>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</si>
  <si>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</si>
  <si>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</si>
  <si>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</si>
  <si>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</si>
  <si>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</si>
  <si>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</si>
  <si>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</si>
  <si>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</si>
  <si>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</si>
  <si>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</si>
  <si>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</si>
  <si>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</si>
  <si>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</si>
  <si>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</si>
  <si>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</si>
  <si>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</si>
  <si>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</si>
  <si>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</si>
  <si>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</si>
  <si>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</si>
  <si>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</si>
  <si>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</si>
  <si>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</si>
  <si>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</si>
  <si>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</si>
  <si>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</si>
  <si>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</si>
  <si>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</si>
  <si>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</si>
  <si>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</si>
  <si>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</si>
  <si>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</si>
  <si>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</si>
  <si>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</si>
  <si>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</si>
  <si>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</si>
  <si>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</si>
  <si>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</si>
  <si>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</si>
  <si>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</si>
  <si>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</si>
  <si>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</si>
  <si>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</si>
  <si>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</si>
  <si>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</si>
  <si>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</si>
  <si>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</si>
  <si>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</si>
  <si>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</si>
  <si>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</si>
  <si>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</si>
  <si>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</si>
  <si>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</si>
  <si>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</si>
  <si>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</si>
  <si>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</si>
  <si>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</si>
  <si>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</si>
  <si>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</si>
  <si>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</si>
  <si>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</si>
  <si>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</si>
  <si>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</si>
  <si>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</si>
  <si>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</si>
  <si>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</si>
  <si>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</si>
  <si>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</si>
  <si>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</si>
  <si>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</si>
  <si>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</si>
  <si>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</si>
  <si>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</si>
  <si>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</si>
  <si>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</si>
  <si>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</si>
  <si>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</si>
  <si>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</si>
  <si>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</si>
  <si>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</si>
  <si>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</si>
  <si>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</si>
  <si>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</si>
  <si>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</si>
  <si>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</si>
  <si>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</si>
  <si>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</si>
  <si>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</si>
  <si>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</si>
  <si>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</si>
  <si>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</si>
  <si>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</si>
  <si>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</si>
  <si>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</si>
  <si>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</si>
  <si>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</si>
  <si>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</si>
  <si>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</si>
  <si>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</si>
  <si>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</si>
  <si>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</si>
  <si>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</si>
  <si>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</si>
  <si>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</si>
  <si>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</si>
  <si>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</si>
  <si>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</si>
  <si>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</si>
  <si>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</si>
  <si>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</si>
  <si>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</si>
  <si>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</si>
  <si>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</si>
  <si>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</si>
  <si>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</si>
  <si>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</si>
  <si>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</si>
  <si>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</si>
  <si>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</si>
  <si>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</si>
  <si>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</si>
  <si>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</si>
  <si>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</si>
  <si>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</si>
  <si>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</si>
  <si>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</si>
  <si>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</si>
  <si>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</si>
  <si>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</si>
  <si>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</si>
  <si>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</si>
  <si>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</si>
  <si>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</si>
  <si>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</si>
  <si>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</si>
  <si>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</si>
  <si>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</si>
  <si>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</si>
  <si>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</si>
  <si>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</si>
  <si>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</si>
  <si>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</si>
  <si>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</si>
  <si>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</si>
  <si>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</si>
  <si>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</si>
  <si>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</si>
  <si>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</si>
  <si>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</si>
  <si>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</si>
  <si>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</si>
  <si>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</si>
  <si>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</si>
  <si>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</si>
  <si>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</si>
  <si>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</si>
  <si>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</si>
  <si>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</si>
  <si>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</si>
  <si>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</si>
  <si>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</si>
  <si>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</si>
  <si>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</si>
  <si>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</si>
  <si>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</si>
  <si>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</si>
  <si>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</si>
  <si>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</si>
  <si>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</si>
  <si>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</si>
  <si>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</si>
  <si>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</si>
  <si>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</si>
  <si>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</si>
  <si>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</si>
  <si>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</si>
  <si>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</si>
  <si>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</si>
  <si>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</si>
  <si>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</si>
  <si>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</si>
  <si>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</si>
  <si>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</si>
  <si>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</si>
  <si>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</si>
  <si>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</si>
  <si>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</si>
  <si>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</si>
  <si>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</si>
  <si>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</si>
  <si>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</si>
  <si>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</si>
  <si>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</si>
  <si>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</si>
  <si>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</si>
  <si>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</si>
  <si>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</si>
  <si>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</si>
  <si>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</si>
  <si>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</si>
  <si>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</si>
  <si>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</si>
  <si>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</si>
  <si>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</si>
  <si>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</si>
  <si>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</si>
  <si>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</si>
  <si>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</si>
  <si>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</si>
  <si>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</si>
  <si>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</si>
  <si>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</si>
  <si>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</si>
  <si>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</si>
  <si>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</si>
  <si>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</si>
  <si>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</si>
  <si>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</si>
  <si>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</si>
  <si>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</si>
  <si>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</si>
  <si>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</si>
  <si>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</si>
  <si>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</si>
  <si>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</si>
  <si>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</si>
  <si>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</si>
  <si>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</si>
  <si>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</si>
  <si>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</si>
  <si>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</si>
  <si>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</si>
  <si>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</si>
  <si>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</si>
  <si>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</si>
  <si>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</si>
  <si>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</si>
  <si>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</si>
  <si>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</si>
  <si>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</si>
  <si>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</si>
  <si>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</si>
  <si>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</si>
  <si>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</si>
  <si>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</si>
  <si>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</si>
  <si>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</si>
  <si>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</si>
  <si>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</si>
  <si>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</si>
  <si>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</si>
  <si>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</si>
  <si>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</si>
  <si>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</si>
  <si>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</si>
  <si>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</si>
  <si>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</si>
  <si>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</si>
  <si>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</si>
  <si>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</si>
  <si>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</si>
  <si>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</si>
  <si>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</si>
  <si>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</si>
  <si>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</si>
  <si>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</si>
  <si>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</si>
  <si>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</si>
  <si>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</si>
  <si>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</si>
  <si>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</si>
  <si>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</si>
  <si>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</si>
  <si>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</si>
  <si>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</si>
  <si>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</si>
  <si>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</si>
  <si>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</si>
  <si>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</si>
  <si>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</si>
  <si>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</si>
  <si>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</si>
  <si>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</si>
  <si>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</si>
  <si>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</si>
  <si>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</si>
  <si>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</si>
  <si>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</si>
  <si>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</si>
  <si>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</si>
  <si>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</si>
  <si>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</si>
  <si>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</si>
  <si>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</si>
  <si>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</si>
  <si>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</si>
  <si>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</si>
  <si>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</si>
  <si>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</si>
  <si>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</si>
  <si>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</si>
  <si>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</si>
  <si>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</si>
  <si>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</si>
  <si>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</si>
  <si>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</si>
  <si>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</si>
  <si>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</si>
  <si>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</si>
  <si>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</si>
  <si>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</si>
  <si>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</si>
  <si>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</si>
  <si>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</si>
  <si>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</si>
  <si>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</si>
  <si>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</si>
  <si>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</si>
  <si>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</si>
  <si>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</si>
  <si>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</si>
  <si>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</si>
  <si>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</si>
  <si>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</si>
  <si>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</si>
  <si>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</si>
  <si>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</si>
  <si>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</si>
  <si>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</si>
  <si>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</si>
  <si>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</si>
  <si>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</si>
  <si>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</si>
  <si>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</si>
  <si>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</si>
  <si>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</si>
  <si>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</si>
  <si>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</si>
  <si>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</si>
  <si>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</si>
  <si>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</si>
  <si>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</si>
  <si>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</si>
  <si>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</si>
  <si>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</si>
  <si>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</si>
  <si>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</si>
  <si>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</si>
  <si>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</si>
  <si>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</si>
  <si>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</si>
  <si>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</si>
  <si>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</si>
  <si>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</si>
  <si>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</si>
  <si>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</si>
  <si>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</si>
  <si>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</si>
  <si>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</si>
  <si>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</si>
  <si>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</si>
  <si>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</si>
  <si>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</si>
  <si>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</si>
  <si>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</si>
  <si>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</si>
  <si>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</si>
  <si>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</si>
  <si>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</si>
  <si>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</si>
  <si>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</si>
  <si>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</si>
  <si>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</si>
  <si>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</si>
  <si>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</si>
  <si>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</si>
  <si>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</si>
  <si>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</si>
  <si>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</si>
  <si>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</si>
  <si>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</si>
  <si>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</si>
  <si>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</si>
  <si>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</si>
  <si>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</si>
  <si>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</si>
  <si>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</si>
  <si>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</si>
  <si>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</si>
  <si>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</si>
  <si>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</si>
  <si>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</si>
  <si>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</si>
  <si>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</si>
  <si>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</si>
  <si>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</si>
  <si>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</si>
  <si>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</si>
  <si>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</si>
  <si>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</si>
  <si>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</si>
  <si>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</si>
  <si>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</si>
  <si>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</si>
  <si>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</si>
  <si>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</si>
  <si>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</si>
  <si>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</si>
  <si>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</si>
  <si>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</si>
  <si>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</si>
  <si>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</si>
  <si>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</si>
  <si>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</si>
  <si>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</si>
  <si>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</si>
  <si>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</si>
  <si>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</si>
  <si>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</si>
  <si>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</si>
  <si>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</si>
  <si>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</si>
  <si>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</si>
  <si>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</si>
  <si>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</si>
  <si>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</si>
  <si>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</si>
  <si>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</si>
  <si>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</si>
  <si>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</si>
  <si>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</si>
  <si>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</si>
  <si>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</si>
  <si>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</si>
  <si>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</si>
  <si>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</si>
  <si>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</si>
  <si>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</si>
  <si>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</si>
  <si>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</si>
  <si>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</si>
  <si>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</si>
  <si>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</si>
  <si>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</si>
  <si>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</si>
  <si>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</si>
  <si>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</si>
  <si>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</si>
  <si>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</si>
  <si>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</si>
  <si>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</si>
  <si>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</si>
  <si>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</si>
  <si>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</si>
  <si>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</si>
  <si>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</si>
  <si>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</si>
  <si>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</si>
  <si>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</si>
  <si>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</si>
  <si>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</si>
  <si>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</si>
  <si>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</si>
  <si>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</si>
  <si>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</si>
  <si>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</si>
  <si>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</si>
  <si>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</si>
  <si>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</si>
  <si>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</si>
  <si>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</si>
  <si>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</si>
  <si>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</si>
  <si>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</si>
  <si>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</si>
  <si>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</si>
  <si>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</si>
  <si>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</si>
  <si>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</si>
  <si>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</si>
  <si>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</si>
  <si>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</si>
  <si>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</si>
  <si>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</si>
  <si>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</si>
  <si>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</si>
  <si>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</si>
  <si>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</si>
  <si>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</si>
  <si>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</si>
  <si>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</si>
  <si>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</si>
  <si>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</si>
  <si>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</si>
  <si>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</si>
  <si>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</si>
  <si>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</si>
  <si>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</si>
  <si>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</si>
  <si>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</si>
  <si>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</si>
  <si>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</si>
  <si>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</si>
  <si>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</si>
  <si>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</si>
  <si>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</si>
  <si>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</si>
  <si>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</si>
  <si>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</si>
  <si>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</si>
  <si>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</si>
  <si>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</si>
  <si>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</si>
  <si>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</si>
  <si>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</si>
  <si>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</si>
  <si>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</si>
  <si>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</si>
  <si>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</si>
  <si>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</si>
  <si>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</si>
  <si>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</si>
  <si>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</si>
  <si>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</si>
  <si>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</si>
  <si>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</si>
  <si>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</si>
  <si>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</si>
  <si>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</si>
  <si>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</si>
  <si>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</si>
  <si>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</si>
  <si>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</si>
  <si>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</si>
  <si>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</si>
  <si>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</si>
  <si>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</si>
  <si>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</si>
  <si>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</si>
  <si>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</si>
  <si>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</si>
  <si>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</si>
  <si>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</si>
  <si>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</si>
  <si>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</si>
  <si>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</si>
  <si>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</si>
  <si>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</si>
  <si>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</si>
  <si>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</si>
  <si>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</si>
  <si>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</si>
  <si>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</si>
  <si>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</si>
  <si>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</si>
  <si>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</si>
  <si>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</si>
  <si>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</si>
  <si>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</si>
  <si>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</si>
  <si>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</si>
  <si>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</si>
  <si>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</si>
  <si>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</si>
  <si>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</si>
  <si>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</si>
  <si>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</si>
  <si>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</si>
  <si>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</si>
  <si>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</si>
  <si>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</si>
  <si>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</si>
  <si>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</si>
  <si>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</si>
  <si>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</si>
  <si>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</si>
  <si>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</si>
  <si>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</si>
  <si>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</si>
  <si>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</si>
  <si>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</si>
  <si>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</si>
  <si>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</si>
  <si>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</si>
  <si>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</si>
  <si>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</si>
  <si>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</si>
  <si>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</si>
  <si>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</si>
  <si>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</si>
  <si>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</si>
  <si>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</si>
  <si>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</si>
  <si>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</si>
  <si>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</si>
  <si>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</si>
  <si>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</si>
  <si>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</si>
  <si>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</si>
  <si>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</si>
  <si>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</si>
  <si>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</si>
  <si>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</si>
  <si>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</si>
  <si>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</si>
  <si>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</si>
  <si>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</si>
  <si>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</si>
  <si>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</si>
  <si>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</si>
  <si>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</si>
  <si>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</si>
  <si>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</si>
  <si>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</si>
  <si>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</si>
  <si>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</si>
  <si>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</si>
  <si>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</si>
  <si>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</si>
  <si>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</si>
  <si>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</si>
  <si>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</si>
  <si>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</si>
  <si>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</si>
  <si>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</si>
  <si>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</si>
  <si>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</si>
  <si>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</si>
  <si>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</si>
  <si>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</si>
  <si>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</si>
  <si>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</si>
  <si>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</si>
  <si>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</si>
  <si>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</si>
  <si>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</si>
  <si>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</si>
  <si>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</si>
  <si>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</si>
  <si>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</si>
  <si>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</si>
  <si>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</si>
  <si>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</si>
  <si>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</si>
  <si>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</si>
  <si>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</si>
  <si>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</si>
  <si>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</si>
  <si>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</si>
  <si>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</si>
  <si>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</si>
  <si>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</si>
  <si>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</si>
  <si>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</si>
  <si>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</si>
  <si>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</si>
  <si>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</si>
  <si>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</si>
  <si>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</si>
  <si>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</si>
  <si>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</si>
  <si>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</si>
  <si>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</si>
  <si>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</si>
  <si>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</si>
  <si>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</si>
  <si>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</si>
  <si>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</si>
  <si>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</si>
  <si>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</si>
  <si>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</si>
  <si>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</si>
  <si>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</si>
  <si>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</si>
  <si>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</si>
  <si>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</si>
  <si>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</si>
  <si>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</si>
  <si>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</si>
  <si>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</si>
  <si>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</si>
  <si>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</si>
  <si>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</si>
  <si>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</si>
  <si>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</si>
  <si>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</si>
  <si>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</si>
  <si>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</si>
  <si>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</si>
  <si>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</si>
  <si>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</si>
  <si>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</si>
  <si>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</si>
  <si>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</si>
  <si>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</si>
  <si>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</si>
  <si>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</si>
  <si>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</si>
  <si>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</si>
  <si>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</si>
  <si>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</si>
  <si>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</si>
  <si>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</si>
  <si>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</si>
  <si>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</si>
  <si>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</si>
  <si>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</si>
  <si>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</si>
  <si>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</si>
  <si>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</si>
  <si>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</si>
  <si>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</si>
  <si>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</si>
  <si>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</si>
  <si>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</si>
  <si>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</si>
  <si>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</si>
  <si>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</si>
  <si>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</si>
  <si>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</si>
  <si>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</si>
  <si>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</si>
  <si>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</si>
  <si>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</si>
  <si>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</si>
  <si>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</si>
  <si>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</si>
  <si>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</si>
  <si>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</si>
  <si>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</si>
  <si>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</si>
  <si>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</si>
  <si>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</si>
  <si>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</si>
  <si>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</si>
  <si>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</si>
  <si>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</si>
  <si>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</si>
  <si>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</si>
  <si>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</si>
  <si>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</si>
  <si>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</si>
  <si>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</si>
  <si>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</si>
  <si>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</si>
  <si>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</si>
  <si>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</si>
  <si>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</si>
  <si>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</si>
  <si>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</si>
  <si>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</si>
  <si>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</si>
  <si>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</si>
  <si>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</si>
  <si>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</si>
  <si>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</si>
  <si>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</si>
  <si>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</si>
  <si>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</si>
  <si>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</si>
  <si>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</si>
  <si>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</si>
  <si>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</si>
  <si>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</si>
  <si>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</si>
  <si>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</si>
  <si>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</si>
  <si>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</si>
  <si>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</si>
  <si>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</si>
  <si>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</si>
  <si>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</si>
  <si>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</si>
  <si>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</si>
  <si>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</si>
  <si>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</si>
  <si>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</si>
  <si>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</si>
  <si>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</si>
  <si>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</si>
  <si>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</si>
  <si>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</si>
  <si>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</si>
  <si>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</si>
  <si>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</si>
  <si>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</si>
  <si>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</si>
  <si>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</si>
  <si>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</si>
  <si>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</si>
  <si>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</si>
  <si>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</si>
  <si>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</si>
  <si>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</si>
  <si>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</si>
  <si>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</si>
  <si>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</si>
  <si>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</si>
  <si>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</si>
  <si>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</si>
  <si>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</si>
  <si>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</si>
  <si>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</si>
  <si>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</si>
  <si>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</si>
  <si>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</si>
  <si>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</si>
  <si>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</si>
  <si>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</si>
  <si>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</si>
  <si>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</si>
  <si>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</si>
  <si>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</si>
  <si>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</si>
  <si>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</si>
  <si>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</si>
  <si>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</si>
  <si>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</si>
  <si>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</si>
  <si>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</si>
  <si>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</si>
  <si>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</si>
  <si>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</si>
  <si>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</si>
  <si>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</si>
  <si>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</si>
  <si>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</si>
  <si>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</si>
  <si>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</si>
  <si>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</si>
  <si>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</si>
  <si>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</si>
  <si>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</si>
  <si>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</si>
  <si>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</si>
  <si>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</si>
  <si>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</si>
  <si>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</si>
  <si>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</si>
  <si>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</si>
  <si>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</si>
  <si>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</si>
  <si>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</si>
  <si>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</si>
  <si>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</si>
  <si>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</si>
  <si>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</si>
  <si>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</si>
  <si>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</si>
  <si>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</si>
  <si>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</si>
  <si>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</si>
  <si>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</si>
  <si>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</si>
  <si>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</si>
  <si>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</si>
  <si>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</si>
  <si>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</si>
  <si>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</si>
  <si>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</si>
  <si>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</si>
  <si>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</si>
  <si>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</si>
  <si>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</si>
  <si>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</si>
  <si>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</si>
  <si>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</si>
  <si>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</si>
  <si>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</si>
  <si>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</si>
  <si>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</si>
  <si>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</si>
  <si>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</si>
  <si>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</si>
  <si>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</si>
  <si>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</si>
  <si>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</si>
  <si>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</si>
  <si>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</si>
  <si>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</si>
  <si>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</si>
  <si>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</si>
  <si>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</si>
  <si>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</si>
  <si>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</si>
  <si>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</si>
  <si>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</si>
  <si>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</si>
  <si>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</si>
  <si>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</si>
  <si>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</si>
  <si>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</si>
  <si>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</si>
  <si>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</si>
  <si>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</si>
  <si>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</si>
  <si>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</si>
  <si>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</si>
  <si>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</si>
  <si>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</si>
  <si>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</si>
  <si>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</si>
  <si>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</si>
  <si>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</si>
  <si>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</si>
  <si>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</si>
  <si>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</si>
  <si>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</si>
  <si>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</si>
  <si>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</si>
  <si>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</si>
  <si>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</si>
  <si>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</si>
  <si>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</si>
  <si>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</si>
  <si>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</si>
  <si>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</si>
  <si>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</si>
  <si>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</si>
  <si>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</si>
  <si>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</si>
  <si>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</si>
  <si>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</si>
  <si>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</si>
  <si>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</si>
  <si>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</si>
  <si>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</si>
  <si>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</si>
  <si>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</si>
  <si>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</si>
  <si>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</si>
  <si>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</si>
  <si>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</si>
  <si>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</si>
  <si>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</si>
  <si>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</si>
  <si>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</si>
  <si>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</si>
  <si>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</si>
  <si>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</si>
  <si>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</si>
  <si>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</si>
  <si>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</si>
  <si>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</si>
  <si>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</si>
  <si>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</si>
  <si>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</si>
  <si>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</si>
  <si>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</si>
  <si>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</si>
  <si>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</si>
  <si>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</si>
  <si>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</si>
  <si>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</si>
  <si>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</si>
  <si>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</si>
  <si>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</si>
  <si>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</si>
  <si>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</si>
  <si>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</si>
  <si>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</si>
  <si>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</si>
  <si>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</si>
  <si>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</si>
  <si>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</si>
  <si>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</si>
  <si>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</si>
  <si>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</si>
  <si>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</si>
  <si>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</si>
  <si>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</si>
  <si>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</si>
  <si>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</si>
  <si>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</si>
  <si>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</si>
  <si>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</si>
  <si>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</si>
  <si>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</si>
  <si>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</si>
  <si>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</si>
  <si>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</si>
  <si>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</si>
  <si>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</si>
  <si>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</si>
  <si>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</si>
  <si>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</si>
  <si>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</si>
  <si>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</si>
  <si>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</si>
  <si>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</si>
  <si>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</si>
  <si>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</si>
  <si>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</si>
  <si>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</si>
  <si>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</si>
  <si>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</si>
  <si>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</si>
  <si>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</si>
  <si>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</si>
  <si>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</si>
  <si>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</si>
  <si>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</si>
  <si>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</si>
  <si>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</si>
  <si>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</si>
  <si>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</si>
  <si>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</si>
  <si>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</si>
  <si>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</si>
  <si>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</si>
  <si>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</si>
  <si>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</si>
  <si>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</si>
  <si>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</si>
  <si>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</si>
  <si>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</si>
  <si>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</si>
  <si>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</si>
  <si>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</si>
  <si>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</si>
  <si>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</si>
  <si>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</si>
  <si>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</si>
  <si>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</si>
  <si>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</si>
  <si>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</si>
  <si>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</si>
  <si>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</si>
  <si>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</si>
  <si>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</si>
  <si>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</si>
  <si>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</si>
  <si>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</si>
  <si>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</si>
  <si>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</si>
  <si>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</si>
  <si>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</si>
  <si>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</si>
  <si>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</si>
  <si>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</si>
  <si>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</si>
  <si>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</si>
  <si>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</si>
  <si>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</si>
  <si>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</si>
  <si>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</si>
  <si>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</si>
  <si>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</si>
  <si>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</si>
  <si>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</si>
  <si>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</si>
  <si>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</si>
  <si>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</si>
  <si>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</si>
  <si>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</si>
  <si>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</si>
  <si>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</si>
  <si>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</si>
  <si>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</si>
  <si>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</si>
  <si>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</si>
  <si>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</si>
  <si>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</si>
  <si>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</si>
  <si>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</si>
  <si>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</si>
  <si>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</si>
  <si>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</si>
  <si>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</si>
  <si>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</si>
  <si>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</si>
  <si>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</si>
  <si>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</si>
  <si>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</si>
  <si>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</si>
  <si>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</si>
  <si>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</si>
  <si>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</si>
  <si>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</si>
  <si>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</si>
  <si>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</si>
  <si>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</si>
  <si>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</si>
  <si>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</si>
  <si>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</si>
  <si>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</si>
  <si>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</si>
  <si>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</si>
  <si>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</si>
  <si>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</si>
  <si>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</si>
  <si>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</si>
  <si>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</si>
  <si>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</si>
  <si>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</si>
  <si>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</si>
  <si>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</si>
  <si>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</si>
  <si>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</si>
  <si>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</si>
  <si>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</si>
  <si>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</si>
  <si>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</si>
  <si>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</si>
  <si>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</si>
  <si>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</si>
  <si>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</si>
  <si>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</si>
  <si>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</si>
  <si>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</si>
  <si>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</si>
  <si>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</si>
  <si>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</si>
  <si>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</si>
  <si>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</si>
  <si>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</si>
  <si>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</si>
  <si>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</si>
  <si>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</si>
  <si>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</si>
  <si>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</si>
  <si>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</si>
  <si>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</si>
  <si>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</si>
  <si>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</si>
  <si>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</si>
  <si>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</si>
  <si>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</si>
  <si>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</si>
  <si>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</si>
  <si>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</si>
  <si>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</si>
  <si>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</si>
  <si>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</si>
  <si>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</si>
  <si>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</si>
  <si>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</si>
  <si>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</si>
  <si>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</si>
  <si>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</si>
  <si>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</si>
  <si>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</si>
  <si>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</si>
  <si>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</si>
  <si>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</si>
  <si>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</si>
  <si>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</si>
  <si>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</si>
  <si>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</si>
  <si>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</si>
  <si>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</si>
  <si>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</si>
  <si>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</si>
  <si>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</si>
  <si>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</si>
  <si>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</si>
  <si>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</si>
  <si>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</si>
  <si>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</si>
  <si>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</si>
  <si>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</si>
  <si>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</si>
  <si>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</si>
  <si>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</si>
  <si>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</si>
  <si>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</si>
  <si>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</si>
  <si>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</si>
  <si>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</si>
  <si>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</si>
  <si>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</si>
  <si>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</si>
  <si>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</si>
  <si>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</si>
  <si>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</si>
  <si>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</si>
  <si>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</si>
  <si>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</si>
  <si>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</si>
  <si>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</si>
  <si>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</si>
  <si>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</si>
  <si>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</si>
  <si>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</si>
  <si>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</si>
  <si>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</si>
  <si>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</si>
  <si>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</si>
  <si>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</si>
  <si>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</si>
  <si>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</si>
  <si>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</si>
  <si>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</si>
  <si>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</si>
  <si>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</si>
  <si>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</si>
  <si>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</si>
  <si>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</si>
  <si>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</si>
  <si>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</si>
  <si>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</si>
  <si>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</si>
  <si>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</si>
  <si>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</si>
  <si>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</si>
  <si>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</si>
  <si>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</si>
  <si>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</si>
  <si>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</si>
  <si>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</si>
  <si>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</si>
  <si>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</si>
  <si>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</si>
  <si>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</si>
  <si>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</si>
  <si>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</si>
  <si>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</si>
  <si>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</si>
  <si>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</si>
  <si>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</si>
  <si>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</si>
  <si>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</si>
  <si>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</si>
  <si>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</si>
  <si>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</si>
  <si>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</si>
  <si>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</si>
  <si>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</si>
  <si>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</si>
  <si>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</si>
  <si>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</si>
  <si>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</si>
  <si>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</si>
  <si>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</si>
  <si>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</si>
  <si>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</si>
  <si>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</si>
  <si>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</si>
  <si>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</si>
  <si>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</si>
  <si>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</si>
  <si>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</si>
  <si>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</si>
  <si>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</si>
  <si>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</si>
  <si>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</si>
  <si>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</si>
  <si>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</si>
  <si>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</si>
  <si>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</si>
  <si>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</si>
  <si>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</si>
  <si>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</si>
  <si>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</si>
  <si>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</si>
  <si>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</si>
  <si>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</si>
  <si>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</si>
  <si>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</si>
  <si>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</si>
  <si>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</si>
  <si>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</si>
  <si>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</si>
  <si>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</si>
  <si>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</si>
  <si>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</si>
  <si>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</si>
  <si>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</si>
  <si>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</si>
  <si>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</si>
  <si>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</si>
  <si>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</si>
  <si>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</si>
  <si>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</si>
  <si>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</si>
  <si>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</si>
  <si>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</si>
  <si>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</si>
  <si>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</si>
  <si>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</si>
  <si>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</si>
  <si>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</si>
  <si>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</si>
  <si>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</si>
  <si>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</si>
  <si>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</si>
  <si>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</si>
  <si>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</si>
  <si>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</si>
  <si>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</si>
  <si>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</si>
  <si>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</si>
  <si>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</si>
  <si>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</si>
  <si>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</si>
  <si>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</si>
  <si>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</si>
  <si>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</si>
  <si>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</si>
  <si>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</si>
  <si>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</si>
  <si>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</si>
  <si>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</si>
  <si>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</si>
  <si>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</si>
  <si>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</si>
  <si>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</si>
  <si>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</si>
  <si>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</si>
  <si>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</si>
  <si>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</si>
  <si>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</si>
  <si>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</si>
  <si>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</si>
  <si>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</si>
  <si>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</si>
  <si>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</si>
  <si>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</si>
  <si>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</si>
  <si>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</si>
  <si>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</si>
  <si>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</si>
  <si>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</si>
  <si>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</si>
  <si>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</si>
  <si>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</si>
  <si>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</si>
  <si>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</si>
  <si>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</si>
  <si>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</si>
  <si>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</si>
  <si>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</si>
  <si>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</si>
  <si>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</si>
  <si>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</si>
  <si>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</si>
  <si>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</si>
  <si>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</si>
  <si>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</si>
  <si>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</si>
  <si>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</si>
  <si>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</si>
  <si>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</si>
  <si>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</si>
  <si>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</si>
  <si>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</si>
  <si>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</si>
  <si>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</si>
  <si>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</si>
  <si>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</si>
  <si>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</si>
  <si>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</si>
  <si>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</si>
  <si>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</si>
  <si>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</si>
  <si>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</si>
  <si>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</si>
  <si>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</si>
  <si>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</si>
  <si>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</si>
  <si>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</si>
  <si>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</si>
  <si>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</si>
  <si>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</si>
  <si>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</si>
  <si>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</si>
  <si>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</si>
  <si>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</si>
  <si>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</si>
  <si>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</si>
  <si>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</si>
  <si>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</si>
  <si>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</si>
  <si>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</si>
  <si>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</si>
  <si>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</si>
  <si>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</si>
  <si>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</si>
  <si>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</si>
  <si>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</si>
  <si>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</si>
  <si>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</si>
  <si>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</si>
  <si>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</si>
  <si>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</si>
  <si>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</si>
  <si>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</si>
  <si>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</si>
  <si>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</si>
  <si>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</si>
  <si>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</si>
  <si>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</si>
  <si>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</si>
  <si>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</si>
  <si>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</si>
  <si>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</si>
  <si>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</si>
  <si>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</si>
  <si>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</si>
  <si>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</si>
  <si>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</si>
  <si>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</si>
  <si>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</si>
  <si>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</si>
  <si>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</si>
  <si>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</si>
  <si>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</si>
  <si>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</si>
  <si>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</si>
  <si>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</si>
  <si>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</si>
  <si>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</si>
  <si>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</si>
  <si>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</si>
  <si>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</si>
  <si>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</si>
  <si>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</si>
  <si>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</si>
  <si>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</si>
  <si>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</si>
  <si>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</si>
  <si>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</si>
  <si>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</si>
  <si>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</si>
  <si>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</si>
  <si>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</si>
  <si>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</si>
  <si>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</si>
  <si>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</si>
  <si>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</si>
  <si>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</si>
  <si>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</si>
  <si>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</si>
  <si>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</si>
  <si>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</si>
  <si>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</si>
  <si>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</si>
  <si>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</si>
  <si>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</si>
  <si>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</si>
  <si>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</si>
  <si>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</si>
  <si>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</si>
  <si>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</si>
  <si>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</si>
  <si>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</si>
  <si>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</si>
  <si>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</si>
  <si>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</si>
  <si>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</si>
  <si>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</si>
  <si>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</si>
  <si>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</si>
  <si>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</si>
  <si>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</si>
  <si>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</si>
  <si>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</si>
  <si>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</si>
  <si>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</si>
  <si>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</si>
  <si>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</si>
  <si>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</si>
  <si>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</si>
  <si>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</si>
  <si>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</si>
  <si>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</si>
  <si>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</si>
  <si>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</si>
  <si>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</si>
  <si>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</si>
  <si>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</si>
  <si>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</si>
  <si>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</si>
  <si>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</si>
  <si>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</si>
  <si>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</si>
  <si>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</si>
  <si>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</si>
  <si>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</si>
  <si>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</si>
  <si>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</si>
  <si>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</si>
  <si>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</si>
  <si>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</si>
  <si>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</si>
  <si>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</si>
  <si>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</si>
  <si>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</si>
  <si>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</si>
  <si>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</si>
  <si>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</si>
  <si>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</si>
  <si>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</si>
  <si>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</si>
  <si>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</si>
  <si>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</si>
  <si>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</si>
  <si>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</si>
  <si>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</si>
  <si>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</si>
  <si>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</si>
  <si>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</si>
  <si>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</si>
  <si>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</si>
  <si>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</si>
  <si>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</si>
  <si>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</si>
  <si>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</si>
  <si>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</si>
  <si>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</si>
  <si>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</si>
  <si>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</si>
  <si>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</si>
  <si>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</si>
  <si>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</si>
  <si>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</si>
  <si>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</si>
  <si>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</si>
  <si>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</si>
  <si>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</si>
  <si>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</si>
  <si>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</si>
  <si>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</si>
  <si>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</si>
  <si>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</si>
  <si>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</si>
  <si>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</si>
  <si>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</si>
  <si>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</si>
  <si>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</si>
  <si>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</si>
  <si>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</si>
  <si>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</si>
  <si>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</si>
  <si>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</si>
  <si>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</si>
  <si>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</si>
  <si>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</si>
  <si>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</si>
  <si>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</si>
  <si>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</si>
  <si>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</si>
  <si>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</si>
  <si>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</si>
  <si>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</si>
  <si>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</si>
  <si>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</si>
  <si>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</si>
  <si>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</si>
  <si>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</si>
  <si>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</si>
  <si>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</si>
  <si>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</si>
  <si>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</si>
  <si>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</si>
  <si>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</si>
  <si>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</si>
  <si>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</si>
  <si>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</si>
  <si>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</si>
  <si>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</si>
  <si>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</si>
  <si>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</si>
  <si>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</si>
  <si>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</si>
  <si>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</si>
  <si>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</si>
  <si>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</si>
  <si>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</si>
  <si>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</si>
  <si>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</si>
  <si>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</si>
  <si>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</si>
  <si>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</si>
  <si>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</si>
  <si>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</si>
  <si>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</si>
  <si>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</si>
  <si>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</si>
  <si>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</si>
  <si>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</si>
  <si>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</si>
  <si>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</si>
  <si>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</si>
  <si>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</si>
  <si>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</si>
  <si>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</si>
  <si>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</si>
  <si>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</si>
  <si>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</si>
  <si>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</si>
  <si>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</si>
  <si>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</si>
  <si>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</si>
  <si>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</si>
  <si>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</si>
  <si>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</si>
  <si>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</si>
  <si>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</si>
  <si>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</si>
  <si>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</si>
  <si>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</si>
  <si>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</si>
  <si>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</si>
  <si>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</si>
  <si>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</si>
  <si>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</si>
  <si>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</si>
  <si>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</si>
  <si>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</si>
  <si>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</si>
  <si>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</si>
  <si>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</si>
  <si>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</si>
  <si>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</si>
  <si>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</si>
  <si>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</si>
  <si>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</si>
  <si>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</si>
  <si>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</si>
  <si>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</si>
  <si>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</si>
  <si>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</si>
  <si>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</si>
  <si>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</si>
  <si>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</si>
  <si>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</si>
  <si>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</si>
  <si>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</si>
  <si>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</si>
  <si>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</si>
  <si>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</si>
  <si>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</si>
  <si>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</si>
  <si>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</si>
  <si>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</si>
  <si>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</si>
  <si>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</si>
  <si>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</si>
  <si>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</si>
  <si>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</si>
  <si>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</si>
  <si>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</si>
  <si>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</si>
  <si>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</si>
  <si>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</si>
  <si>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</si>
  <si>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</si>
  <si>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</si>
  <si>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</si>
  <si>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</si>
  <si>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</si>
  <si>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</si>
  <si>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</si>
  <si>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</si>
  <si>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</si>
  <si>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</si>
  <si>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</si>
  <si>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</si>
  <si>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</si>
  <si>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</si>
  <si>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</si>
  <si>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</si>
  <si>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</si>
  <si>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</si>
  <si>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</si>
  <si>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</si>
  <si>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</si>
  <si>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</si>
  <si>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</si>
  <si>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</si>
  <si>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</si>
  <si>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</si>
  <si>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</si>
  <si>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</si>
  <si>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</si>
  <si>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</si>
  <si>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</si>
  <si>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</si>
  <si>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</si>
  <si>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</si>
  <si>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</si>
  <si>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</si>
  <si>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</si>
  <si>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</si>
  <si>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</si>
  <si>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</si>
  <si>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</si>
  <si>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</si>
  <si>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</si>
  <si>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</si>
  <si>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</si>
  <si>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</si>
  <si>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</si>
  <si>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</si>
  <si>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</si>
  <si>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</si>
  <si>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</si>
  <si>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</si>
  <si>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</si>
  <si>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</si>
  <si>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</si>
  <si>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</si>
  <si>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</si>
  <si>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</si>
  <si>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</si>
  <si>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</si>
  <si>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</si>
  <si>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</si>
  <si>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</si>
  <si>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</si>
  <si>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</si>
  <si>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</si>
  <si>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</si>
  <si>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</si>
  <si>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</si>
  <si>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</si>
  <si>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</si>
  <si>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</si>
  <si>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</si>
  <si>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</si>
  <si>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</si>
  <si>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</si>
  <si>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</si>
  <si>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</si>
  <si>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</si>
  <si>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</si>
  <si>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</si>
  <si>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</si>
  <si>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</si>
  <si>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</si>
  <si>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</si>
  <si>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</si>
  <si>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</si>
  <si>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</si>
  <si>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</si>
  <si>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</si>
  <si>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</si>
  <si>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</si>
  <si>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</si>
  <si>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</si>
  <si>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</si>
  <si>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</si>
  <si>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</si>
  <si>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</si>
  <si>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</si>
  <si>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</si>
  <si>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</si>
  <si>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</si>
  <si>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</si>
  <si>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</si>
  <si>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</si>
  <si>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</si>
  <si>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</si>
  <si>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</si>
  <si>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</si>
  <si>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</si>
  <si>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</si>
  <si>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</si>
  <si>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</si>
  <si>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</si>
  <si>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</si>
  <si>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</si>
  <si>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</si>
  <si>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</si>
  <si>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</si>
  <si>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</si>
  <si>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</si>
  <si>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</si>
  <si>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</si>
  <si>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</si>
  <si>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</si>
  <si>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</si>
  <si>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</si>
  <si>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</si>
  <si>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</si>
  <si>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</si>
  <si>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</si>
  <si>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</si>
  <si>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</si>
  <si>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</si>
  <si>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</si>
  <si>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</si>
  <si>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</si>
  <si>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</si>
  <si>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</si>
  <si>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</si>
  <si>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</si>
  <si>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</si>
  <si>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</si>
  <si>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</si>
  <si>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</si>
  <si>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</si>
  <si>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</si>
  <si>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</si>
  <si>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</si>
  <si>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</si>
  <si>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</si>
  <si>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</si>
  <si>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</si>
  <si>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</si>
  <si>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</si>
  <si>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</si>
  <si>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</si>
  <si>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</si>
  <si>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</si>
  <si>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</si>
  <si>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</si>
  <si>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</si>
  <si>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</si>
  <si>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</si>
  <si>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</si>
  <si>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</si>
  <si>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</si>
  <si>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</si>
  <si>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</si>
  <si>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</si>
  <si>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</si>
  <si>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</si>
  <si>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</si>
  <si>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</si>
  <si>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</si>
  <si>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</si>
  <si>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</si>
  <si>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</si>
  <si>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</si>
  <si>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</si>
  <si>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</si>
  <si>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</si>
  <si>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</si>
  <si>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</si>
  <si>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</si>
  <si>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</si>
  <si>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</si>
  <si>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</si>
  <si>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</si>
  <si>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</si>
  <si>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</si>
  <si>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</si>
  <si>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</si>
  <si>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</si>
  <si>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</si>
  <si>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</si>
  <si>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</si>
  <si>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</si>
  <si>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</si>
  <si>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</si>
  <si>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</si>
  <si>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</si>
  <si>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</si>
  <si>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</si>
  <si>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</si>
  <si>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</si>
  <si>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</si>
  <si>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</si>
  <si>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</si>
  <si>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</si>
  <si>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</si>
  <si>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</si>
  <si>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</si>
  <si>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</si>
  <si>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</si>
  <si>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</si>
  <si>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</si>
  <si>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</si>
  <si>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</si>
  <si>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</si>
  <si>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</si>
  <si>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</si>
  <si>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</si>
  <si>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</si>
  <si>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</si>
  <si>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</si>
  <si>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</si>
  <si>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</si>
  <si>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</si>
  <si>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</si>
  <si>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</si>
  <si>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</si>
  <si>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</si>
  <si>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</si>
  <si>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</si>
  <si>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</si>
  <si>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</si>
  <si>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</si>
  <si>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</si>
  <si>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</si>
  <si>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</si>
  <si>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</si>
  <si>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</si>
  <si>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</si>
  <si>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</si>
  <si>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</si>
  <si>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</si>
  <si>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</si>
  <si>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</si>
  <si>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</si>
  <si>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</si>
  <si>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</si>
  <si>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</si>
  <si>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</si>
  <si>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</si>
  <si>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</si>
  <si>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</si>
  <si>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</si>
  <si>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</si>
  <si>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</si>
  <si>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</si>
  <si>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</si>
  <si>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</si>
  <si>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</si>
  <si>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</si>
  <si>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</si>
  <si>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</si>
  <si>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</si>
  <si>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</si>
  <si>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</si>
  <si>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</si>
  <si>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</si>
  <si>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</si>
  <si>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</si>
  <si>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</si>
  <si>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</si>
  <si>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</si>
  <si>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</si>
  <si>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</si>
  <si>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</si>
  <si>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</si>
  <si>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</si>
  <si>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</si>
  <si>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</si>
  <si>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</si>
  <si>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</si>
  <si>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</si>
  <si>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</si>
  <si>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</si>
  <si>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</si>
  <si>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</si>
  <si>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</si>
  <si>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</si>
  <si>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</si>
  <si>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</si>
  <si>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</si>
  <si>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</si>
  <si>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</si>
  <si>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</si>
  <si>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</si>
  <si>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</si>
  <si>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</si>
  <si>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</si>
  <si>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</si>
  <si>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</si>
  <si>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</si>
  <si>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</si>
  <si>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</si>
  <si>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</si>
  <si>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</si>
  <si>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</si>
  <si>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</si>
  <si>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</si>
  <si>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</si>
  <si>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</si>
  <si>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</si>
  <si>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</si>
  <si>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</si>
  <si>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</si>
  <si>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</si>
  <si>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</si>
  <si>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</si>
  <si>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</si>
  <si>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</si>
  <si>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</si>
  <si>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</si>
  <si>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</si>
  <si>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</si>
  <si>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</si>
  <si>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</si>
  <si>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</si>
  <si>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</si>
  <si>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</si>
  <si>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</si>
  <si>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</si>
  <si>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</si>
  <si>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</si>
  <si>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</si>
  <si>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</si>
  <si>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</si>
  <si>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</si>
  <si>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</si>
  <si>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</si>
  <si>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</si>
  <si>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</si>
  <si>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</si>
  <si>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</si>
  <si>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</si>
  <si>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</si>
  <si>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</si>
  <si>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</si>
  <si>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</si>
  <si>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</si>
  <si>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</si>
  <si>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</si>
  <si>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</si>
  <si>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</si>
  <si>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</si>
  <si>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</si>
  <si>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</si>
  <si>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</si>
  <si>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</si>
  <si>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</si>
  <si>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</si>
  <si>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</si>
  <si>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</si>
  <si>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</si>
  <si>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</si>
  <si>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</si>
  <si>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</si>
  <si>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</si>
  <si>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</si>
  <si>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</si>
  <si>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</si>
  <si>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</si>
  <si>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</si>
  <si>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</si>
  <si>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</si>
  <si>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</si>
  <si>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</si>
  <si>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</si>
  <si>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</si>
  <si>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</si>
  <si>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</si>
  <si>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</si>
  <si>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</si>
  <si>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</si>
  <si>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</si>
  <si>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</si>
  <si>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</si>
  <si>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</si>
  <si>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</si>
  <si>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</si>
  <si>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</si>
  <si>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</si>
  <si>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</si>
  <si>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</si>
  <si>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</si>
  <si>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</si>
  <si>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</si>
  <si>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</si>
  <si>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</si>
  <si>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</si>
  <si>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</si>
  <si>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</si>
  <si>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</si>
  <si>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</si>
  <si>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</si>
  <si>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</si>
  <si>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</si>
  <si>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</si>
  <si>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</si>
  <si>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</si>
  <si>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</si>
  <si>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</si>
  <si>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</si>
  <si>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</si>
  <si>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</si>
  <si>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</si>
  <si>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</si>
  <si>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</si>
  <si>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</si>
  <si>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</si>
  <si>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</si>
  <si>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</si>
  <si>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</si>
  <si>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</si>
  <si>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</si>
  <si>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</si>
  <si>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</si>
  <si>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</si>
  <si>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</si>
  <si>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</si>
  <si>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</si>
  <si>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</si>
  <si>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</si>
  <si>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</si>
  <si>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</si>
  <si>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</si>
  <si>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</si>
  <si>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</si>
  <si>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</si>
  <si>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</si>
  <si>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</si>
  <si>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</si>
  <si>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</si>
  <si>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</si>
  <si>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</si>
  <si>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</si>
  <si>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</si>
  <si>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</si>
  <si>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</si>
  <si>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</si>
  <si>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</si>
  <si>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</si>
  <si>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</si>
  <si>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</si>
  <si>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</si>
  <si>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</si>
  <si>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</si>
  <si>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</si>
  <si>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</si>
  <si>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</si>
  <si>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</si>
  <si>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</si>
  <si>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</si>
  <si>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</si>
  <si>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</si>
  <si>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</si>
  <si>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</si>
  <si>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</si>
  <si>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</si>
  <si>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</si>
  <si>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</si>
  <si>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</si>
  <si>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</si>
  <si>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</si>
  <si>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</si>
  <si>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</si>
  <si>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</si>
  <si>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</si>
  <si>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</si>
  <si>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</si>
  <si>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</si>
  <si>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</si>
  <si>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</si>
  <si>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</si>
  <si>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</si>
  <si>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</si>
  <si>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</si>
  <si>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</si>
  <si>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</si>
  <si>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</si>
  <si>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</si>
  <si>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</si>
  <si>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</si>
  <si>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</si>
  <si>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</si>
  <si>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</si>
  <si>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</si>
  <si>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</si>
  <si>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</si>
  <si>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</si>
  <si>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</si>
  <si>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</si>
  <si>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</si>
  <si>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</si>
  <si>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</si>
  <si>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</si>
  <si>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</si>
  <si>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</si>
  <si>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</si>
  <si>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</si>
  <si>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</si>
  <si>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</si>
  <si>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</si>
  <si>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</si>
  <si>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</si>
  <si>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</si>
  <si>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</si>
  <si>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</si>
  <si>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</si>
  <si>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</si>
  <si>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</si>
  <si>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</si>
  <si>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</si>
  <si>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</si>
  <si>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</si>
  <si>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</si>
  <si>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</si>
  <si>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</si>
  <si>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</si>
  <si>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</si>
  <si>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</si>
  <si>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</si>
  <si>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</si>
  <si>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</si>
  <si>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</si>
  <si>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</si>
  <si>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</si>
  <si>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</si>
  <si>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</si>
  <si>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</si>
  <si>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</si>
  <si>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</si>
  <si>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</si>
  <si>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</si>
  <si>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</si>
  <si>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</si>
  <si>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</si>
  <si>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</si>
  <si>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</si>
  <si>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</si>
  <si>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</si>
  <si>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</si>
  <si>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</si>
  <si>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</si>
  <si>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</si>
  <si>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</si>
  <si>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</si>
  <si>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</si>
  <si>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</si>
  <si>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</si>
  <si>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</si>
  <si>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</si>
  <si>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</si>
  <si>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</si>
  <si>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</si>
  <si>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</si>
  <si>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</si>
  <si>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</si>
  <si>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</si>
  <si>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</si>
  <si>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</si>
  <si>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</si>
  <si>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</si>
  <si>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</si>
  <si>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</si>
  <si>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</si>
  <si>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</si>
  <si>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</si>
  <si>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</si>
  <si>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</si>
  <si>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</si>
  <si>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</si>
  <si>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</si>
  <si>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</si>
  <si>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</si>
  <si>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</si>
  <si>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</si>
  <si>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</si>
  <si>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</si>
  <si>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</si>
  <si>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</si>
  <si>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</si>
  <si>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</si>
  <si>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</si>
  <si>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</si>
  <si>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</si>
  <si>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</si>
  <si>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</si>
  <si>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</si>
  <si>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</si>
  <si>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</si>
  <si>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</si>
  <si>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</si>
  <si>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</si>
  <si>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</si>
  <si>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</si>
  <si>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</si>
  <si>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</si>
  <si>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</si>
  <si>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</si>
  <si>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</si>
  <si>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</si>
  <si>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</si>
  <si>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</si>
  <si>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</si>
  <si>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</si>
  <si>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</si>
  <si>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</si>
  <si>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</si>
  <si>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</si>
  <si>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</si>
  <si>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</si>
  <si>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</si>
  <si>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</si>
  <si>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</si>
  <si>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</si>
  <si>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</si>
  <si>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</si>
  <si>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</si>
  <si>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</si>
  <si>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</si>
  <si>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</si>
  <si>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</si>
  <si>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</si>
  <si>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</si>
  <si>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</si>
  <si>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</si>
  <si>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</si>
  <si>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</si>
  <si>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</si>
  <si>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</si>
  <si>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</si>
  <si>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</si>
  <si>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</si>
  <si>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</si>
  <si>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</si>
  <si>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</si>
  <si>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</si>
  <si>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</si>
  <si>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</si>
  <si>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</si>
  <si>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</si>
  <si>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</si>
  <si>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</si>
  <si>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</si>
  <si>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</si>
  <si>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</si>
  <si>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</si>
  <si>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</si>
  <si>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</si>
  <si>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</si>
  <si>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</si>
  <si>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</si>
  <si>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</si>
  <si>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</si>
  <si>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</si>
  <si>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</si>
  <si>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</si>
  <si>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</si>
  <si>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</si>
  <si>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</si>
  <si>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</si>
  <si>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</si>
  <si>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</si>
  <si>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</si>
  <si>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</si>
  <si>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</si>
  <si>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</si>
  <si>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</si>
  <si>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</si>
  <si>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</si>
  <si>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</si>
  <si>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</si>
  <si>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</si>
  <si>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</si>
  <si>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</si>
  <si>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</si>
  <si>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</si>
  <si>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</si>
  <si>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</si>
  <si>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</si>
  <si>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</si>
  <si>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</si>
  <si>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</si>
  <si>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</si>
  <si>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</si>
  <si>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</si>
  <si>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</si>
  <si>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</si>
  <si>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</si>
  <si>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</si>
  <si>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</si>
  <si>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</si>
  <si>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</si>
  <si>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</si>
  <si>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</si>
  <si>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</si>
  <si>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</si>
  <si>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</si>
  <si>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</si>
  <si>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</si>
  <si>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</si>
  <si>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</si>
  <si>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</si>
  <si>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</si>
  <si>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</si>
  <si>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</si>
  <si>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</si>
  <si>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</si>
  <si>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</si>
  <si>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</si>
  <si>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</si>
  <si>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</si>
  <si>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</si>
  <si>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</si>
  <si>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</si>
  <si>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</si>
  <si>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</si>
  <si>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</si>
  <si>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</si>
  <si>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</si>
  <si>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</si>
  <si>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</si>
  <si>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</si>
  <si>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</si>
  <si>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</si>
  <si>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</si>
  <si>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</si>
  <si>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</si>
  <si>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</si>
  <si>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</si>
  <si>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</si>
  <si>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</si>
  <si>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</si>
  <si>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</si>
  <si>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</si>
  <si>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</si>
  <si>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</si>
  <si>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</si>
  <si>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</si>
  <si>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</si>
  <si>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</si>
  <si>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</si>
  <si>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</si>
  <si>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</si>
  <si>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</si>
  <si>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</si>
  <si>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</si>
  <si>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</si>
  <si>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</si>
  <si>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</si>
  <si>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</si>
  <si>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</si>
  <si>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</si>
  <si>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</si>
  <si>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</si>
  <si>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</si>
  <si>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</si>
  <si>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</si>
  <si>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</si>
  <si>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</si>
  <si>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</si>
  <si>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</si>
  <si>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</si>
  <si>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</si>
  <si>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</si>
  <si>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</si>
  <si>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</si>
  <si>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</si>
  <si>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</si>
  <si>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</si>
  <si>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</si>
  <si>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</si>
  <si>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</si>
  <si>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</si>
  <si>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</si>
  <si>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</si>
  <si>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</si>
  <si>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</si>
  <si>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</si>
  <si>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</si>
  <si>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</si>
  <si>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</si>
  <si>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</si>
  <si>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</si>
  <si>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</si>
  <si>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</si>
  <si>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</si>
  <si>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</si>
  <si>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</si>
  <si>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</si>
  <si>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</si>
  <si>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</si>
  <si>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</si>
  <si>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</si>
  <si>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</si>
  <si>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</si>
  <si>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</si>
  <si>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</si>
  <si>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</si>
  <si>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</si>
  <si>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</si>
  <si>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</si>
  <si>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</si>
  <si>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</si>
  <si>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</si>
  <si>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</si>
  <si>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</si>
  <si>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</si>
  <si>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</si>
  <si>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</si>
  <si>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</si>
  <si>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</si>
  <si>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</si>
  <si>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</si>
  <si>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</si>
  <si>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</si>
  <si>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</si>
  <si>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</si>
  <si>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</si>
  <si>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</si>
  <si>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</si>
  <si>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</si>
  <si>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</si>
  <si>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</si>
  <si>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</si>
  <si>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</si>
  <si>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</si>
  <si>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</si>
  <si>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</si>
  <si>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</si>
  <si>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</si>
  <si>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</si>
  <si>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</si>
  <si>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</si>
  <si>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</si>
  <si>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</si>
  <si>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</si>
  <si>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</si>
  <si>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</si>
  <si>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</si>
  <si>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</si>
  <si>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</si>
  <si>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</si>
  <si>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</si>
  <si>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</si>
  <si>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</si>
  <si>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</si>
  <si>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</si>
  <si>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</si>
  <si>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</si>
  <si>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</si>
  <si>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</si>
  <si>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</si>
  <si>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</si>
  <si>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</si>
  <si>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</si>
  <si>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</si>
  <si>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</si>
  <si>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</si>
  <si>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</si>
  <si>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</si>
  <si>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</si>
  <si>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</si>
  <si>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</si>
  <si>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</si>
  <si>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</si>
  <si>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</si>
  <si>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</si>
  <si>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</si>
  <si>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</si>
  <si>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</si>
  <si>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</si>
  <si>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</si>
  <si>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</si>
  <si>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</si>
  <si>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</si>
  <si>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</si>
  <si>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</si>
  <si>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</si>
  <si>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</si>
  <si>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</si>
  <si>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</si>
  <si>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</si>
  <si>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</si>
  <si>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</si>
  <si>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</si>
  <si>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</si>
  <si>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</si>
  <si>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</si>
  <si>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</si>
  <si>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</si>
  <si>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</si>
  <si>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</si>
  <si>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</si>
  <si>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</si>
  <si>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</si>
  <si>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</si>
  <si>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</si>
  <si>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</si>
  <si>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</si>
  <si>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</si>
  <si>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</si>
  <si>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</si>
  <si>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</si>
  <si>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</si>
  <si>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</si>
  <si>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</si>
  <si>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</si>
  <si>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</si>
  <si>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</si>
  <si>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</si>
  <si>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</si>
  <si>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</si>
  <si>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</si>
  <si>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</si>
  <si>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</si>
  <si>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</si>
  <si>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</si>
  <si>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</si>
  <si>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</si>
  <si>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</si>
  <si>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</si>
  <si>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</si>
  <si>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</si>
  <si>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</si>
  <si>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</si>
  <si>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</si>
  <si>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</si>
  <si>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</si>
  <si>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</si>
  <si>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</si>
  <si>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</si>
  <si>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</si>
  <si>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</si>
  <si>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</si>
  <si>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</si>
  <si>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</si>
  <si>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</si>
  <si>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</si>
  <si>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</si>
  <si>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</si>
  <si>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</si>
  <si>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</si>
  <si>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</si>
  <si>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</si>
  <si>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</si>
  <si>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</si>
  <si>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</si>
  <si>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</si>
  <si>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</si>
  <si>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</si>
  <si>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</si>
  <si>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</si>
  <si>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</si>
  <si>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</si>
  <si>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</si>
  <si>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</si>
  <si>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</si>
  <si>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</si>
  <si>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</si>
  <si>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</si>
  <si>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</si>
  <si>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</si>
  <si>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</si>
  <si>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</si>
  <si>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</si>
  <si>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</si>
  <si>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</si>
  <si>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</si>
  <si>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</si>
  <si>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</si>
  <si>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</si>
  <si>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</si>
  <si>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</si>
  <si>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</si>
  <si>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</si>
  <si>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</si>
  <si>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</si>
  <si>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</si>
  <si>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</si>
  <si>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</si>
  <si>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</si>
  <si>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</si>
  <si>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</si>
  <si>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</si>
  <si>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</si>
  <si>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</si>
  <si>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</si>
  <si>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</si>
  <si>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</si>
  <si>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</si>
  <si>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</si>
  <si>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</si>
  <si>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</si>
  <si>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</si>
  <si>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</si>
  <si>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</si>
  <si>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</si>
  <si>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</si>
  <si>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</si>
  <si>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</si>
  <si>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</si>
  <si>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</si>
  <si>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</si>
  <si>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</si>
  <si>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</si>
  <si>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</si>
  <si>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</si>
  <si>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</si>
  <si>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</si>
  <si>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</si>
  <si>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</si>
  <si>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</si>
  <si>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</si>
  <si>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</si>
  <si>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</si>
  <si>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</si>
  <si>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</si>
  <si>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</si>
  <si>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</si>
  <si>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</si>
  <si>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</si>
  <si>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</si>
  <si>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</si>
  <si>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</si>
  <si>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</si>
  <si>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</si>
  <si>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</si>
  <si>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</si>
  <si>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</si>
  <si>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</si>
  <si>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</si>
  <si>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</si>
  <si>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</si>
  <si>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</si>
  <si>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</si>
  <si>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</si>
  <si>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</si>
  <si>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</si>
  <si>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</si>
  <si>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</si>
  <si>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</si>
  <si>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</si>
  <si>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</si>
  <si>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</si>
  <si>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</si>
  <si>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</si>
  <si>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</si>
  <si>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</si>
  <si>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</si>
  <si>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</si>
  <si>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</si>
  <si>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</si>
  <si>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</si>
  <si>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</si>
  <si>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</si>
  <si>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</si>
  <si>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</si>
  <si>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</si>
  <si>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</si>
  <si>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</si>
  <si>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</si>
  <si>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</si>
  <si>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</si>
  <si>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</si>
  <si>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</si>
  <si>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</si>
  <si>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</si>
  <si>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</si>
  <si>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</si>
  <si>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</si>
  <si>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</si>
  <si>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</si>
  <si>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</si>
  <si>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</si>
  <si>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</si>
  <si>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</si>
  <si>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</si>
  <si>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</si>
  <si>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</si>
  <si>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</si>
  <si>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</si>
  <si>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</si>
  <si>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</si>
  <si>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</si>
  <si>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</si>
  <si>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</si>
  <si>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</si>
  <si>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</si>
  <si>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</si>
  <si>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</si>
  <si>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</si>
  <si>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</si>
  <si>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</si>
  <si>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</si>
  <si>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</si>
  <si>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</si>
  <si>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</si>
  <si>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</si>
  <si>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</si>
  <si>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</si>
  <si>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</si>
  <si>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</si>
  <si>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</si>
  <si>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</si>
  <si>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</si>
  <si>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</si>
  <si>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</si>
  <si>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</si>
  <si>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</si>
  <si>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</si>
  <si>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</si>
  <si>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</si>
  <si>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</si>
  <si>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</si>
  <si>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</si>
  <si>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</si>
  <si>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</si>
  <si>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</si>
  <si>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</si>
  <si>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</si>
  <si>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</si>
  <si>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</si>
  <si>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</si>
  <si>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</si>
  <si>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</si>
  <si>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</si>
  <si>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</si>
  <si>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</si>
  <si>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</si>
  <si>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</si>
  <si>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</si>
  <si>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</si>
  <si>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</si>
  <si>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</si>
  <si>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</si>
  <si>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</si>
  <si>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</si>
  <si>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</si>
  <si>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</si>
  <si>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</si>
  <si>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</si>
  <si>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</si>
  <si>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</si>
  <si>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</si>
  <si>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</si>
  <si>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</si>
  <si>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</si>
  <si>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</si>
  <si>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</si>
  <si>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</si>
  <si>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</si>
  <si>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</si>
  <si>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</si>
  <si>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</si>
  <si>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</si>
  <si>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</si>
  <si>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</si>
  <si>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</si>
  <si>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</si>
  <si>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</si>
  <si>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</si>
  <si>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</si>
  <si>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</si>
  <si>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</si>
  <si>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</si>
  <si>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</si>
  <si>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</si>
  <si>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</si>
  <si>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</si>
  <si>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</si>
  <si>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</si>
  <si>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</si>
  <si>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</si>
  <si>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</si>
  <si>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</si>
  <si>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</si>
  <si>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</si>
  <si>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</si>
  <si>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</si>
  <si>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</si>
  <si>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</si>
  <si>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</si>
  <si>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</si>
  <si>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</si>
  <si>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</si>
  <si>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</si>
  <si>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</si>
  <si>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</si>
  <si>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</si>
  <si>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</si>
  <si>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</si>
  <si>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</si>
  <si>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</si>
  <si>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</si>
  <si>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</si>
  <si>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</si>
  <si>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</si>
  <si>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</si>
  <si>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</si>
  <si>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</si>
  <si>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</si>
  <si>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</si>
  <si>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</si>
  <si>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</si>
  <si>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</si>
  <si>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</si>
  <si>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</si>
  <si>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</si>
  <si>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</si>
  <si>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</si>
  <si>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</si>
  <si>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</si>
  <si>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</si>
  <si>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</si>
  <si>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</si>
  <si>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</si>
  <si>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</si>
  <si>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</si>
  <si>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</si>
  <si>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</si>
  <si>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</si>
  <si>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</si>
  <si>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</si>
  <si>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</si>
  <si>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</si>
  <si>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</si>
  <si>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</si>
  <si>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</si>
  <si>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</si>
  <si>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</si>
  <si>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</si>
  <si>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</si>
  <si>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</si>
  <si>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</si>
  <si>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</si>
  <si>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</si>
  <si>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</si>
  <si>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</si>
  <si>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</si>
  <si>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</si>
  <si>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</si>
  <si>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</si>
  <si>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</si>
  <si>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</si>
  <si>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</si>
  <si>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</si>
  <si>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</si>
  <si>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</si>
  <si>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</si>
  <si>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</si>
  <si>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</si>
  <si>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</si>
  <si>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</si>
  <si>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</si>
  <si>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</si>
  <si>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</si>
  <si>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</si>
  <si>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</si>
  <si>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</si>
  <si>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</si>
  <si>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</si>
  <si>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</si>
  <si>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</si>
  <si>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</si>
  <si>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</si>
  <si>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</si>
  <si>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</si>
  <si>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</si>
  <si>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</si>
  <si>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</si>
  <si>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</si>
  <si>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</si>
  <si>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</si>
  <si>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</si>
  <si>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</si>
  <si>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</si>
  <si>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</si>
  <si>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</si>
  <si>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</si>
  <si>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</si>
  <si>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</si>
  <si>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</si>
  <si>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</si>
  <si>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</si>
  <si>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</si>
  <si>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</si>
  <si>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</si>
  <si>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</si>
  <si>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</si>
  <si>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</si>
  <si>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</si>
  <si>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</si>
  <si>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</si>
  <si>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</si>
  <si>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</si>
  <si>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</si>
  <si>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</si>
  <si>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</si>
  <si>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</si>
  <si>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</si>
  <si>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</si>
  <si>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</si>
  <si>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</si>
  <si>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</si>
  <si>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</si>
  <si>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</si>
  <si>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</si>
  <si>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</si>
  <si>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</si>
  <si>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</si>
  <si>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</si>
  <si>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</si>
  <si>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</si>
  <si>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</si>
  <si>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</si>
  <si>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</si>
  <si>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</si>
  <si>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</si>
  <si>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</si>
  <si>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</si>
  <si>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</si>
  <si>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</si>
  <si>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</si>
  <si>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</si>
  <si>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</si>
  <si>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</si>
  <si>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</si>
  <si>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</si>
  <si>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</si>
  <si>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</si>
  <si>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</si>
  <si>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</si>
  <si>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</si>
  <si>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</si>
  <si>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</si>
  <si>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</si>
  <si>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</si>
  <si>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</si>
  <si>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</si>
  <si>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</si>
  <si>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</si>
  <si>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</si>
  <si>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</si>
  <si>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</si>
  <si>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</si>
  <si>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</si>
  <si>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</si>
  <si>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</si>
  <si>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</si>
  <si>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</si>
  <si>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</si>
  <si>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</si>
  <si>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</si>
  <si>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</si>
  <si>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</si>
  <si>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</si>
  <si>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</si>
  <si>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</si>
  <si>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</si>
  <si>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</si>
  <si>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</si>
  <si>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</si>
  <si>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</si>
  <si>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</si>
  <si>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</si>
  <si>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</si>
  <si>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</si>
  <si>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</si>
  <si>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</si>
  <si>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</si>
  <si>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</si>
  <si>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</si>
  <si>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</si>
  <si>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</si>
  <si>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</si>
  <si>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</si>
  <si>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</si>
  <si>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</si>
  <si>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</si>
  <si>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</si>
  <si>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</si>
  <si>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</si>
  <si>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</si>
  <si>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</si>
  <si>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</si>
  <si>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</si>
  <si>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</si>
  <si>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</si>
  <si>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</si>
  <si>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</si>
  <si>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</si>
  <si>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</si>
  <si>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</si>
  <si>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</si>
  <si>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</si>
  <si>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</si>
  <si>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</si>
  <si>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</si>
  <si>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</si>
  <si>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</si>
  <si>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</si>
  <si>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</si>
  <si>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</si>
  <si>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</si>
  <si>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</si>
  <si>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</si>
  <si>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</si>
  <si>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</si>
  <si>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</si>
  <si>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</si>
  <si>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</si>
  <si>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</si>
  <si>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</si>
  <si>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</si>
  <si>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</si>
  <si>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</si>
  <si>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</si>
  <si>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</si>
  <si>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</si>
  <si>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</si>
  <si>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</si>
  <si>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</si>
  <si>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</si>
  <si>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</si>
  <si>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</si>
  <si>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</si>
  <si>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</si>
  <si>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</si>
  <si>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</si>
  <si>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</si>
  <si>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</si>
  <si>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</si>
  <si>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</si>
  <si>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</si>
  <si>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</si>
  <si>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</si>
  <si>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</si>
  <si>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</si>
  <si>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</si>
  <si>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</si>
  <si>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</si>
  <si>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</si>
  <si>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</si>
  <si>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</si>
  <si>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</si>
  <si>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</si>
  <si>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</si>
  <si>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</si>
  <si>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</si>
  <si>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</si>
  <si>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</si>
  <si>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</si>
  <si>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</si>
  <si>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</si>
  <si>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</si>
  <si>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</si>
  <si>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</si>
  <si>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</si>
  <si>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</si>
  <si>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</si>
  <si>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</si>
  <si>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</si>
  <si>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</si>
  <si>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</si>
  <si>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</si>
  <si>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</si>
  <si>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</si>
  <si>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</si>
  <si>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</si>
  <si>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</si>
  <si>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</si>
  <si>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</si>
  <si>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</si>
  <si>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</si>
  <si>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</si>
  <si>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</si>
  <si>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</si>
  <si>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</si>
  <si>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</si>
  <si>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</si>
  <si>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</si>
  <si>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</si>
  <si>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</si>
  <si>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</si>
  <si>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</si>
  <si>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</si>
  <si>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</si>
  <si>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</si>
  <si>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</si>
  <si>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</si>
  <si>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</si>
  <si>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</si>
  <si>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</si>
  <si>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</si>
  <si>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</si>
  <si>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</si>
  <si>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</si>
  <si>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</si>
  <si>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</si>
  <si>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</si>
  <si>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</si>
  <si>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</si>
  <si>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</si>
  <si>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</si>
  <si>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</si>
  <si>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</si>
  <si>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</si>
  <si>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</si>
  <si>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</si>
  <si>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</si>
  <si>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</si>
  <si>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</si>
  <si>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</si>
  <si>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</si>
  <si>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</si>
  <si>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</si>
  <si>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</si>
  <si>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</si>
  <si>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</si>
  <si>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</si>
  <si>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</si>
  <si>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</si>
  <si>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</si>
  <si>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</si>
  <si>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</si>
  <si>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</si>
  <si>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</si>
  <si>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</si>
  <si>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</si>
  <si>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</si>
  <si>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</si>
  <si>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</si>
  <si>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</si>
  <si>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</si>
  <si>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</si>
  <si>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</si>
  <si>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</si>
  <si>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</si>
  <si>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</si>
  <si>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</si>
  <si>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</si>
  <si>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</si>
  <si>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</si>
  <si>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</si>
  <si>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</si>
  <si>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</si>
  <si>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</si>
  <si>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</si>
  <si>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</si>
  <si>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</si>
  <si>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</si>
  <si>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</si>
  <si>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</si>
  <si>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</si>
  <si>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</si>
  <si>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</si>
  <si>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</si>
  <si>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</si>
  <si>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</si>
  <si>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</si>
  <si>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</si>
  <si>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</si>
  <si>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</si>
  <si>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</si>
  <si>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</si>
  <si>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</si>
  <si>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</si>
  <si>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</si>
  <si>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</si>
  <si>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</si>
  <si>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</si>
  <si>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</si>
  <si>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</si>
  <si>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</si>
  <si>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</si>
  <si>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</si>
  <si>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</si>
  <si>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</si>
  <si>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</si>
  <si>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</si>
  <si>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</si>
  <si>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</si>
  <si>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</si>
  <si>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</si>
  <si>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</si>
  <si>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</si>
  <si>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</si>
  <si>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</si>
  <si>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</si>
  <si>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</si>
  <si>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</si>
  <si>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</si>
  <si>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</si>
  <si>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</si>
  <si>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</si>
  <si>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</si>
  <si>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</si>
  <si>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</si>
  <si>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</si>
  <si>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</si>
  <si>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</si>
  <si>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</si>
  <si>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</si>
  <si>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</si>
  <si>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</si>
  <si>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</si>
  <si>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</si>
  <si>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</si>
  <si>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</si>
  <si>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</si>
  <si>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</si>
  <si>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</si>
  <si>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</si>
  <si>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</si>
  <si>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</si>
  <si>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</si>
  <si>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</si>
  <si>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</si>
  <si>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</si>
  <si>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</si>
  <si>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</si>
  <si>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</si>
  <si>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</si>
  <si>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</si>
  <si>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</si>
  <si>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</si>
  <si>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</si>
  <si>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</si>
  <si>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</si>
  <si>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</si>
  <si>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</si>
  <si>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</si>
  <si>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</si>
  <si>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</si>
  <si>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</si>
  <si>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</si>
  <si>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</si>
  <si>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</si>
  <si>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</si>
  <si>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</si>
  <si>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</si>
  <si>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</si>
  <si>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</si>
  <si>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</si>
  <si>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</si>
  <si>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</si>
  <si>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</si>
  <si>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</si>
  <si>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</si>
  <si>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</si>
  <si>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</si>
  <si>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</si>
  <si>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</si>
  <si>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</si>
  <si>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</si>
  <si>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</si>
  <si>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</si>
  <si>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</si>
  <si>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</si>
  <si>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</si>
  <si>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</si>
  <si>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</si>
  <si>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</si>
  <si>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</si>
  <si>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</si>
  <si>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</si>
  <si>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</si>
  <si>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</si>
  <si>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</si>
  <si>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</si>
  <si>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</si>
  <si>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</si>
  <si>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</si>
  <si>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</si>
  <si>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</si>
  <si>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</si>
  <si>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</si>
  <si>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</si>
  <si>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</si>
  <si>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</si>
  <si>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</si>
  <si>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</si>
  <si>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</si>
  <si>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</si>
  <si>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</si>
  <si>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</si>
  <si>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</si>
  <si>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</si>
  <si>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</si>
  <si>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</si>
  <si>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</si>
  <si>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</si>
  <si>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</si>
  <si>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</si>
  <si>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</si>
  <si>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</si>
  <si>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</si>
  <si>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</si>
  <si>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</si>
  <si>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</si>
  <si>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</si>
  <si>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</si>
  <si>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</si>
  <si>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</si>
  <si>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</si>
  <si>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</si>
  <si>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</si>
  <si>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</si>
  <si>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</si>
  <si>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</si>
  <si>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</si>
  <si>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</si>
  <si>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</si>
  <si>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</si>
  <si>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</si>
  <si>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</si>
  <si>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</si>
  <si>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</si>
  <si>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</si>
  <si>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</si>
  <si>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</si>
  <si>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</si>
  <si>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</si>
  <si>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</si>
  <si>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</si>
  <si>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</si>
  <si>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</si>
  <si>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</si>
  <si>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</si>
  <si>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</si>
  <si>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</si>
  <si>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</si>
  <si>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</si>
  <si>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</si>
  <si>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</si>
  <si>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</si>
  <si>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</si>
  <si>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</si>
  <si>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</si>
  <si>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</si>
  <si>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</si>
  <si>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</si>
  <si>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</si>
  <si>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</si>
  <si>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</si>
  <si>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</si>
  <si>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</si>
  <si>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</si>
  <si>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</si>
  <si>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</si>
  <si>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</si>
  <si>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</si>
  <si>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</si>
  <si>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</si>
  <si>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</si>
  <si>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</si>
  <si>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</si>
  <si>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</si>
  <si>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</si>
  <si>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</si>
  <si>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</si>
  <si>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</si>
  <si>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</si>
  <si>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</si>
  <si>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</si>
  <si>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</si>
  <si>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</si>
  <si>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</si>
  <si>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</si>
  <si>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</si>
  <si>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</si>
  <si>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</si>
  <si>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</si>
  <si>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</si>
  <si>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</si>
  <si>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</si>
  <si>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</si>
  <si>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</si>
  <si>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</si>
  <si>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</si>
  <si>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</si>
  <si>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</si>
  <si>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</si>
  <si>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</si>
  <si>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</si>
  <si>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</si>
  <si>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</si>
  <si>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</si>
  <si>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</si>
  <si>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</si>
  <si>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</si>
  <si>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</si>
  <si>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</si>
  <si>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</si>
  <si>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</si>
  <si>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</si>
  <si>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</si>
  <si>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</si>
  <si>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</si>
  <si>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</si>
  <si>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</si>
  <si>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</si>
  <si>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</si>
  <si>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</si>
  <si>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</si>
  <si>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</si>
  <si>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</si>
  <si>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</si>
  <si>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</si>
  <si>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</si>
  <si>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</si>
  <si>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</si>
  <si>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</si>
  <si>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</si>
  <si>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</si>
  <si>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</si>
  <si>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</si>
  <si>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</si>
  <si>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</si>
  <si>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</si>
  <si>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</si>
  <si>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</si>
  <si>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</si>
  <si>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</si>
  <si>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</si>
  <si>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</si>
  <si>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</si>
  <si>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</si>
  <si>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</si>
  <si>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</si>
  <si>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</si>
  <si>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</si>
  <si>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</si>
  <si>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</si>
  <si>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</si>
  <si>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</si>
  <si>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</si>
  <si>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</si>
  <si>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</si>
  <si>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</si>
  <si>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</si>
  <si>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</si>
  <si>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</si>
  <si>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</si>
  <si>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</si>
  <si>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</si>
  <si>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</si>
  <si>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</si>
  <si>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</si>
  <si>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</si>
  <si>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</si>
  <si>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</si>
  <si>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</si>
  <si>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</si>
  <si>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</si>
  <si>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</si>
  <si>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</si>
  <si>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</si>
  <si>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</si>
  <si>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</si>
  <si>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</si>
  <si>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</si>
  <si>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</si>
  <si>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</si>
  <si>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</si>
  <si>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</si>
  <si>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</si>
  <si>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</si>
  <si>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</si>
  <si>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</si>
  <si>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</si>
  <si>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</si>
  <si>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</si>
  <si>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</si>
  <si>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</si>
  <si>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</si>
  <si>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</si>
  <si>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</si>
  <si>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</si>
  <si>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</si>
  <si>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</si>
  <si>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</si>
  <si>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</si>
  <si>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</si>
  <si>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</si>
  <si>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</si>
  <si>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</si>
  <si>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</si>
  <si>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</si>
  <si>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</si>
  <si>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</si>
  <si>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</si>
  <si>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</si>
  <si>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</si>
  <si>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</si>
  <si>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</si>
  <si>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</si>
  <si>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</si>
  <si>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</si>
  <si>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</si>
  <si>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</si>
  <si>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</si>
  <si>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</si>
  <si>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</si>
  <si>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</si>
  <si>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</si>
  <si>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</si>
  <si>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</si>
  <si>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</si>
  <si>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</si>
  <si>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</si>
  <si>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</si>
  <si>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</si>
  <si>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</si>
  <si>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</si>
  <si>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</si>
  <si>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</si>
  <si>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</si>
  <si>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</si>
  <si>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</si>
  <si>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</si>
  <si>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</si>
  <si>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</si>
  <si>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</si>
  <si>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</si>
  <si>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</si>
  <si>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</si>
  <si>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</si>
  <si>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</si>
  <si>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</si>
  <si>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</si>
  <si>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</si>
  <si>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</si>
  <si>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</si>
  <si>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</si>
  <si>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</si>
  <si>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</si>
  <si>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</si>
  <si>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</si>
  <si>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</si>
  <si>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</si>
  <si>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</si>
  <si>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</si>
  <si>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</si>
  <si>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</si>
  <si>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</si>
  <si>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</si>
  <si>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</si>
  <si>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</si>
  <si>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</si>
  <si>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</si>
  <si>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</si>
  <si>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</si>
  <si>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</si>
  <si>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</si>
  <si>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</si>
  <si>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</si>
  <si>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</si>
  <si>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</si>
  <si>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</si>
  <si>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</si>
  <si>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</si>
  <si>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</si>
  <si>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</si>
  <si>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</si>
  <si>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</si>
  <si>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</si>
  <si>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</si>
  <si>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</si>
  <si>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</si>
  <si>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</si>
  <si>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</si>
  <si>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</si>
  <si>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</si>
  <si>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</si>
  <si>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</si>
  <si>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</si>
  <si>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</si>
  <si>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</si>
  <si>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</si>
  <si>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</si>
  <si>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</si>
  <si>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</si>
  <si>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</si>
  <si>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</si>
  <si>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</si>
  <si>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</si>
  <si>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</si>
  <si>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</si>
  <si>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</si>
  <si>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</si>
  <si>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</si>
  <si>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</si>
  <si>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</si>
  <si>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</si>
  <si>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</si>
  <si>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</si>
  <si>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</si>
  <si>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</si>
  <si>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</si>
  <si>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</si>
  <si>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</si>
  <si>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</si>
  <si>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</si>
  <si>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</si>
  <si>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</si>
  <si>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</si>
  <si>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</si>
  <si>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</si>
  <si>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</si>
  <si>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</si>
  <si>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</si>
  <si>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</si>
  <si>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</si>
  <si>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</si>
  <si>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</si>
  <si>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</si>
  <si>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</si>
  <si>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</si>
  <si>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</si>
  <si>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</si>
  <si>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</si>
  <si>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</si>
  <si>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</si>
  <si>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</si>
  <si>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</si>
  <si>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</si>
  <si>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</si>
  <si>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</si>
  <si>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</si>
  <si>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</si>
  <si>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</si>
  <si>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</si>
  <si>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</si>
  <si>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</si>
  <si>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</si>
  <si>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</si>
  <si>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</si>
  <si>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</si>
  <si>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</si>
  <si>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</si>
  <si>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</si>
  <si>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</si>
  <si>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</si>
  <si>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</si>
  <si>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</si>
  <si>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</si>
  <si>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</si>
  <si>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</si>
  <si>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</si>
  <si>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</si>
  <si>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</si>
  <si>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</si>
  <si>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</si>
  <si>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</si>
  <si>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</si>
  <si>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</si>
  <si>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</si>
  <si>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</si>
  <si>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</si>
  <si>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</si>
  <si>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</si>
  <si>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</si>
  <si>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</si>
  <si>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</si>
  <si>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</si>
  <si>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</si>
  <si>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</si>
  <si>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</si>
  <si>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</si>
  <si>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</si>
  <si>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</si>
  <si>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</si>
  <si>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</si>
  <si>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</si>
  <si>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</si>
  <si>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</si>
  <si>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</si>
  <si>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</si>
  <si>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</si>
  <si>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</si>
  <si>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</si>
  <si>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</si>
  <si>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</si>
  <si>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</si>
  <si>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</si>
  <si>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</si>
  <si>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</si>
  <si>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</si>
  <si>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</si>
  <si>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</si>
  <si>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</si>
  <si>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</si>
  <si>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</si>
  <si>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</si>
  <si>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</si>
  <si>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</si>
  <si>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</si>
  <si>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</si>
  <si>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</si>
  <si>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</si>
  <si>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</si>
  <si>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</si>
  <si>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</si>
  <si>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</si>
  <si>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</si>
  <si>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</si>
  <si>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</si>
  <si>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</si>
  <si>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</si>
  <si>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</si>
  <si>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</si>
  <si>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</si>
  <si>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</si>
  <si>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</si>
  <si>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</si>
  <si>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</si>
  <si>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</si>
  <si>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</si>
  <si>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</si>
  <si>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</si>
  <si>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</si>
  <si>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</si>
  <si>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</si>
  <si>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</si>
  <si>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</si>
  <si>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</si>
  <si>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</si>
  <si>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</si>
  <si>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</si>
  <si>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</si>
  <si>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</si>
  <si>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</si>
  <si>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</si>
  <si>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</si>
  <si>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</si>
  <si>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</si>
  <si>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</si>
  <si>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</si>
  <si>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</si>
  <si>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</si>
  <si>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</si>
  <si>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</si>
  <si>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</si>
  <si>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</si>
  <si>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</si>
  <si>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</si>
  <si>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</si>
  <si>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</si>
  <si>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</si>
  <si>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</si>
  <si>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</si>
  <si>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</si>
  <si>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</si>
  <si>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</si>
  <si>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</si>
  <si>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</si>
  <si>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</si>
  <si>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</si>
  <si>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</si>
  <si>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</si>
  <si>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</si>
  <si>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</si>
  <si>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</si>
  <si>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</si>
  <si>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</si>
  <si>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</si>
  <si>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</si>
  <si>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</si>
  <si>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</si>
  <si>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</si>
  <si>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</si>
  <si>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</si>
  <si>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</si>
  <si>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</si>
  <si>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</si>
  <si>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</si>
  <si>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</si>
  <si>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</si>
  <si>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</si>
  <si>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</si>
  <si>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</si>
  <si>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</si>
  <si>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</si>
  <si>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</si>
  <si>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</si>
  <si>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</si>
  <si>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</si>
  <si>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</si>
  <si>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</si>
  <si>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</si>
  <si>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</si>
  <si>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</si>
  <si>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</si>
  <si>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</si>
  <si>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</si>
  <si>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</si>
  <si>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</si>
  <si>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</si>
  <si>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</si>
  <si>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</si>
  <si>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</si>
  <si>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</si>
  <si>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</si>
  <si>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</si>
  <si>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</si>
  <si>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</si>
  <si>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</si>
  <si>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</si>
  <si>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</si>
  <si>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</si>
  <si>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</si>
  <si>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</si>
  <si>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</si>
  <si>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</si>
  <si>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</si>
  <si>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</si>
  <si>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</si>
  <si>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</si>
  <si>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</si>
  <si>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</si>
  <si>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</si>
  <si>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</si>
  <si>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</si>
  <si>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</si>
  <si>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</si>
  <si>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</si>
  <si>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</si>
  <si>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</si>
  <si>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</si>
  <si>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</si>
  <si>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</si>
  <si>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</si>
  <si>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</si>
  <si>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</si>
  <si>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</si>
  <si>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</si>
  <si>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</si>
  <si>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</si>
  <si>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</si>
  <si>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</si>
  <si>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</si>
  <si>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</si>
  <si>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</si>
  <si>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</si>
  <si>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</si>
  <si>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</si>
  <si>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</si>
  <si>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</si>
  <si>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</si>
  <si>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</si>
  <si>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</si>
  <si>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</si>
  <si>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</si>
  <si>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</si>
  <si>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</si>
  <si>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</si>
  <si>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</si>
  <si>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</si>
  <si>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</si>
  <si>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</si>
  <si>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</si>
  <si>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</si>
  <si>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</si>
  <si>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</si>
  <si>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</si>
  <si>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</si>
  <si>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</si>
  <si>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</si>
  <si>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</si>
  <si>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</si>
  <si>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</si>
  <si>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</si>
  <si>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</si>
  <si>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</si>
  <si>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</si>
  <si>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</si>
  <si>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</si>
  <si>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</si>
  <si>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</si>
  <si>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</si>
  <si>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</si>
  <si>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</si>
  <si>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</si>
  <si>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</si>
  <si>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</si>
  <si>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</si>
  <si>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</si>
  <si>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</si>
  <si>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</si>
  <si>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</si>
  <si>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</si>
  <si>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</si>
  <si>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</si>
  <si>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</si>
  <si>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</si>
  <si>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</si>
  <si>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</si>
  <si>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</si>
  <si>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</si>
  <si>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</si>
  <si>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</si>
  <si>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</si>
  <si>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</si>
  <si>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</si>
  <si>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</si>
  <si>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</si>
  <si>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</si>
  <si>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</si>
  <si>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</si>
  <si>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</si>
  <si>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</si>
  <si>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</si>
  <si>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</si>
  <si>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</si>
  <si>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</si>
  <si>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</si>
  <si>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</si>
  <si>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</si>
  <si>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</si>
  <si>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</si>
  <si>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</si>
  <si>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</si>
  <si>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</si>
  <si>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</si>
  <si>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</si>
  <si>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</si>
  <si>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</si>
  <si>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</si>
  <si>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</si>
  <si>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</si>
  <si>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</si>
  <si>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</si>
  <si>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</si>
  <si>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</si>
  <si>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</si>
  <si>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</si>
  <si>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</si>
  <si>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</si>
  <si>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</si>
  <si>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</si>
  <si>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</si>
  <si>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</si>
  <si>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</si>
  <si>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</si>
  <si>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</si>
  <si>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</si>
  <si>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</si>
  <si>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</si>
  <si>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</si>
  <si>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</si>
  <si>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</si>
  <si>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</si>
  <si>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</si>
  <si>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</si>
  <si>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</si>
  <si>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</si>
  <si>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</si>
  <si>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</si>
  <si>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</si>
  <si>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</si>
  <si>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</si>
  <si>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</si>
  <si>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</si>
  <si>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</si>
  <si>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</si>
  <si>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</si>
  <si>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</si>
  <si>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</si>
  <si>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</si>
  <si>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</si>
  <si>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</si>
  <si>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</si>
  <si>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</si>
  <si>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</si>
  <si>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</si>
  <si>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</si>
  <si>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</si>
  <si>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</si>
  <si>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</si>
  <si>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</si>
  <si>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</si>
  <si>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</si>
  <si>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</si>
  <si>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</si>
  <si>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</si>
  <si>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</si>
  <si>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</si>
  <si>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</si>
  <si>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</si>
  <si>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</si>
  <si>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</si>
  <si>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</si>
  <si>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</si>
  <si>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</si>
  <si>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</si>
  <si>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</si>
  <si>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</si>
  <si>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</si>
  <si>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</si>
  <si>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</si>
  <si>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</si>
  <si>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</si>
  <si>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</si>
  <si>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</si>
  <si>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</si>
  <si>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</si>
  <si>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</si>
  <si>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</si>
  <si>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</si>
  <si>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</si>
  <si>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</si>
  <si>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</si>
  <si>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</si>
  <si>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</si>
  <si>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</si>
  <si>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</si>
  <si>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</si>
  <si>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</si>
  <si>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</si>
  <si>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</si>
  <si>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</si>
  <si>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</si>
  <si>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</si>
  <si>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</si>
  <si>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</si>
  <si>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</si>
  <si>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</si>
  <si>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</si>
  <si>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</si>
  <si>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</si>
  <si>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</si>
  <si>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</si>
  <si>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</si>
  <si>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</si>
  <si>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</si>
  <si>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</si>
  <si>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</si>
  <si>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</si>
  <si>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</si>
  <si>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</si>
  <si>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</si>
  <si>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</si>
  <si>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</si>
  <si>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</si>
  <si>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</si>
  <si>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</si>
  <si>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</si>
  <si>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</si>
  <si>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</si>
  <si>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</si>
  <si>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</si>
  <si>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</si>
  <si>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</si>
  <si>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</si>
  <si>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</si>
  <si>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</si>
  <si>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</si>
  <si>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</si>
  <si>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</si>
  <si>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</si>
  <si>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</si>
  <si>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</si>
  <si>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</si>
  <si>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</si>
  <si>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</si>
  <si>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</si>
  <si>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</si>
  <si>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</si>
  <si>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</si>
  <si>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</si>
  <si>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</si>
  <si>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</si>
  <si>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</si>
  <si>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</si>
  <si>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</si>
  <si>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</si>
  <si>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</si>
  <si>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</si>
  <si>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</si>
  <si>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</si>
  <si>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</si>
  <si>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</si>
  <si>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</si>
  <si>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</si>
  <si>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</si>
  <si>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</si>
  <si>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</si>
  <si>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</si>
  <si>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</si>
  <si>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</si>
  <si>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</si>
  <si>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</si>
  <si>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</si>
  <si>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</si>
  <si>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</si>
  <si>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</si>
  <si>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</si>
  <si>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</si>
  <si>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</si>
  <si>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</si>
  <si>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</si>
  <si>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</si>
  <si>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</si>
  <si>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</si>
  <si>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</si>
  <si>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</si>
  <si>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</si>
  <si>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</si>
  <si>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</si>
  <si>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</si>
  <si>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</si>
  <si>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</si>
  <si>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</si>
  <si>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</si>
  <si>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</si>
  <si>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</si>
  <si>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</si>
  <si>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</si>
  <si>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</si>
  <si>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</si>
  <si>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</si>
  <si>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</si>
  <si>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</si>
  <si>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</si>
  <si>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</si>
  <si>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</si>
  <si>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</si>
  <si>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</si>
  <si>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</si>
  <si>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</si>
  <si>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</si>
  <si>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</si>
  <si>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</si>
  <si>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</si>
  <si>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</si>
  <si>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</si>
  <si>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</si>
  <si>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</si>
  <si>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</si>
  <si>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</si>
  <si>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</si>
  <si>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</si>
  <si>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</si>
  <si>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</si>
  <si>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</si>
  <si>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</si>
  <si>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</si>
  <si>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</si>
  <si>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</si>
  <si>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</si>
  <si>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</si>
  <si>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</si>
  <si>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</si>
  <si>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</si>
  <si>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</si>
  <si>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</si>
  <si>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</si>
  <si>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</si>
  <si>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</si>
  <si>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</si>
  <si>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</si>
  <si>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</si>
  <si>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</si>
  <si>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</si>
  <si>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</si>
  <si>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</si>
  <si>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</si>
  <si>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</si>
  <si>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</si>
  <si>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</si>
  <si>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</si>
  <si>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</si>
  <si>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</si>
  <si>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</si>
  <si>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</si>
  <si>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</si>
  <si>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</si>
  <si>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</si>
  <si>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</si>
  <si>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</si>
  <si>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</si>
  <si>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</si>
  <si>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</si>
  <si>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</si>
  <si>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</si>
  <si>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</si>
  <si>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</si>
  <si>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</si>
  <si>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</si>
  <si>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</si>
  <si>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</si>
  <si>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</si>
  <si>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</si>
  <si>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</si>
  <si>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</si>
  <si>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</si>
  <si>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</si>
  <si>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</si>
  <si>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</si>
  <si>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</si>
  <si>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</si>
  <si>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</si>
  <si>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</si>
  <si>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</si>
  <si>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</si>
  <si>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</si>
  <si>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</si>
  <si>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</si>
  <si>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</si>
  <si>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</si>
  <si>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</si>
  <si>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</si>
  <si>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</si>
  <si>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</si>
  <si>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</si>
  <si>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</si>
  <si>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</si>
  <si>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</si>
  <si>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</si>
  <si>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</si>
  <si>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</si>
  <si>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</si>
  <si>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</si>
  <si>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</si>
  <si>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</si>
  <si>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</si>
  <si>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</si>
  <si>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</si>
  <si>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</si>
  <si>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</si>
  <si>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</si>
  <si>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</si>
  <si>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</si>
  <si>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</si>
  <si>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</si>
  <si>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</si>
  <si>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</si>
  <si>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</si>
  <si>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</si>
  <si>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</si>
  <si>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</si>
  <si>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</si>
  <si>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</si>
  <si>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</si>
  <si>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</si>
  <si>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</si>
  <si>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</si>
  <si>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</si>
  <si>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</si>
  <si>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</si>
  <si>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</si>
  <si>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</si>
  <si>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</si>
  <si>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</si>
  <si>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</si>
  <si>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</si>
  <si>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</si>
  <si>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</si>
  <si>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</si>
  <si>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</si>
  <si>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</si>
  <si>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</si>
  <si>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</si>
  <si>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</si>
  <si>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</si>
  <si>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</si>
  <si>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</si>
  <si>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</si>
  <si>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</si>
  <si>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</si>
  <si>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</si>
  <si>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</si>
  <si>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</si>
  <si>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</si>
  <si>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</si>
  <si>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</si>
  <si>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</si>
  <si>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</si>
  <si>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</si>
  <si>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</si>
  <si>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</si>
  <si>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</si>
  <si>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</si>
  <si>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</si>
  <si>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</si>
  <si>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</si>
  <si>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</si>
  <si>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</si>
  <si>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</si>
  <si>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</si>
  <si>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</si>
  <si>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</si>
  <si>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</si>
  <si>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</si>
  <si>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</si>
  <si>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</si>
  <si>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</si>
  <si>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</si>
  <si>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</si>
  <si>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</si>
  <si>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</si>
  <si>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</si>
  <si>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</si>
  <si>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</si>
  <si>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</si>
  <si>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</si>
  <si>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</si>
  <si>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</si>
  <si>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</si>
  <si>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</si>
  <si>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</si>
  <si>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</si>
  <si>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</si>
  <si>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</si>
  <si>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</si>
  <si>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</si>
  <si>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</si>
  <si>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</si>
  <si>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</si>
  <si>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</si>
  <si>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</si>
  <si>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</si>
  <si>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</si>
  <si>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</si>
  <si>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</si>
  <si>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</si>
  <si>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</si>
  <si>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</si>
  <si>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</si>
  <si>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</si>
  <si>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</si>
  <si>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</si>
  <si>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</si>
  <si>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</si>
  <si>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</si>
  <si>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</si>
  <si>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</si>
  <si>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</si>
  <si>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</si>
  <si>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</si>
  <si>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</si>
  <si>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</si>
  <si>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</si>
  <si>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</si>
  <si>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</si>
  <si>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</si>
  <si>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</si>
  <si>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</si>
  <si>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</si>
  <si>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</si>
  <si>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</si>
  <si>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</si>
  <si>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</si>
  <si>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</si>
  <si>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</si>
  <si>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</si>
  <si>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</si>
  <si>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</si>
  <si>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</si>
  <si>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</si>
  <si>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</si>
  <si>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</si>
  <si>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</si>
  <si>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</si>
  <si>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</si>
  <si>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</si>
  <si>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</si>
  <si>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</si>
  <si>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</si>
  <si>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</si>
  <si>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</si>
  <si>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</si>
  <si>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</si>
  <si>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</si>
  <si>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</si>
  <si>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</si>
  <si>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</si>
  <si>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</si>
  <si>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</si>
  <si>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</si>
  <si>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</si>
  <si>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</si>
  <si>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</si>
  <si>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</si>
  <si>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</si>
  <si>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</si>
  <si>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</si>
  <si>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</si>
  <si>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</si>
  <si>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</si>
  <si>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</si>
  <si>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</si>
  <si>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</si>
  <si>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</si>
  <si>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</si>
  <si>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</si>
  <si>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</si>
  <si>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</si>
  <si>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</si>
  <si>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</si>
  <si>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</si>
  <si>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</si>
  <si>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</si>
  <si>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</si>
  <si>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</si>
  <si>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</si>
  <si>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</si>
  <si>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</si>
  <si>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</si>
  <si>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</si>
  <si>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</si>
  <si>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</si>
  <si>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</si>
  <si>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</si>
  <si>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</si>
  <si>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</si>
  <si>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</si>
  <si>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</si>
  <si>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</si>
  <si>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</si>
  <si>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</si>
  <si>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</si>
  <si>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</si>
  <si>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</si>
  <si>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</si>
  <si>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</si>
  <si>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</si>
  <si>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</si>
  <si>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</si>
  <si>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</si>
  <si>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</si>
  <si>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</si>
  <si>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</si>
  <si>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</si>
  <si>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</si>
  <si>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</si>
  <si>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</si>
  <si>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</si>
  <si>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</si>
  <si>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</si>
  <si>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</si>
  <si>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</si>
  <si>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</si>
  <si>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</si>
  <si>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</si>
  <si>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</si>
  <si>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</si>
  <si>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</si>
  <si>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</si>
  <si>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</si>
  <si>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</si>
  <si>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</si>
  <si>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</si>
  <si>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</si>
  <si>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</si>
  <si>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</si>
  <si>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</si>
  <si>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</si>
  <si>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</si>
  <si>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</si>
  <si>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</si>
  <si>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</si>
  <si>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</si>
  <si>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</si>
  <si>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</si>
  <si>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</si>
  <si>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</si>
  <si>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</si>
  <si>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</si>
  <si>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</si>
  <si>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</si>
  <si>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</si>
  <si>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</si>
  <si>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</si>
  <si>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</si>
  <si>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</si>
  <si>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</si>
  <si>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</si>
  <si>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</si>
  <si>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</si>
  <si>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</si>
  <si>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</si>
  <si>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</si>
  <si>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</si>
  <si>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</si>
  <si>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</si>
  <si>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</si>
  <si>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</si>
  <si>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</si>
  <si>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</si>
  <si>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</si>
  <si>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</si>
  <si>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</si>
  <si>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</si>
  <si>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</si>
  <si>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</si>
  <si>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</si>
  <si>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</si>
  <si>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</si>
  <si>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</si>
  <si>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</si>
  <si>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</si>
  <si>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</si>
  <si>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</si>
  <si>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</si>
  <si>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</si>
  <si>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</si>
  <si>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</si>
  <si>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</si>
  <si>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</si>
  <si>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</si>
  <si>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</si>
  <si>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</si>
  <si>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</si>
  <si>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</si>
  <si>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</si>
  <si>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</si>
  <si>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</si>
  <si>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</si>
  <si>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</si>
  <si>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</si>
  <si>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</si>
  <si>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</si>
  <si>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</si>
  <si>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</si>
  <si>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</si>
  <si>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</si>
  <si>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</si>
  <si>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</si>
  <si>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</si>
  <si>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</si>
  <si>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</si>
  <si>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</si>
  <si>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</si>
  <si>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</si>
  <si>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</si>
  <si>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</si>
  <si>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</si>
  <si>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</si>
  <si>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</si>
  <si>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</si>
  <si>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</si>
  <si>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</si>
  <si>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</si>
  <si>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</si>
  <si>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</si>
  <si>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</si>
  <si>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</si>
  <si>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</si>
  <si>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</si>
  <si>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</si>
  <si>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</si>
  <si>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</si>
  <si>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</si>
  <si>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</si>
  <si>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</si>
  <si>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</si>
  <si>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</si>
  <si>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</si>
  <si>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</si>
  <si>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</si>
  <si>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</si>
  <si>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</si>
  <si>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</si>
  <si>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</si>
  <si>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</si>
  <si>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</si>
  <si>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</si>
  <si>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</si>
  <si>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</si>
  <si>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</si>
  <si>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</si>
  <si>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</si>
  <si>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</si>
  <si>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</si>
  <si>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</si>
  <si>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</si>
  <si>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</si>
  <si>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</si>
  <si>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</si>
  <si>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</si>
  <si>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</si>
  <si>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</si>
  <si>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</si>
  <si>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</si>
  <si>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</si>
  <si>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</si>
  <si>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</si>
  <si>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</si>
  <si>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</si>
  <si>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</si>
  <si>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</si>
  <si>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</si>
  <si>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</si>
  <si>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</si>
  <si>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</si>
  <si>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</si>
  <si>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</si>
  <si>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</si>
  <si>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</si>
  <si>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</si>
  <si>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</si>
  <si>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</si>
  <si>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</si>
  <si>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</si>
  <si>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</si>
  <si>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</si>
  <si>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</si>
  <si>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</si>
  <si>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</si>
  <si>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</si>
  <si>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</si>
  <si>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</si>
  <si>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</si>
  <si>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</si>
  <si>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</si>
  <si>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</si>
  <si>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</si>
  <si>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</si>
  <si>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</si>
  <si>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</si>
  <si>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</si>
  <si>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</si>
  <si>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</si>
  <si>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</si>
  <si>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</si>
  <si>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</si>
  <si>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</si>
  <si>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</si>
  <si>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</si>
  <si>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</si>
  <si>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</si>
  <si>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</si>
  <si>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</si>
  <si>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</si>
  <si>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</si>
  <si>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</si>
  <si>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</si>
  <si>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</si>
  <si>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</si>
  <si>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</si>
  <si>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</si>
  <si>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</si>
  <si>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</si>
  <si>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</si>
  <si>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</si>
  <si>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</si>
  <si>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</si>
  <si>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</si>
  <si>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</si>
  <si>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</si>
  <si>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</si>
  <si>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</si>
  <si>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</si>
  <si>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</si>
  <si>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</si>
  <si>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</si>
  <si>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</si>
  <si>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</si>
  <si>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</si>
  <si>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</si>
  <si>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</si>
  <si>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</si>
  <si>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</si>
  <si>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</si>
  <si>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</si>
  <si>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</si>
  <si>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</si>
  <si>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</si>
  <si>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</si>
  <si>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</si>
  <si>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</si>
  <si>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</si>
  <si>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</si>
  <si>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</si>
  <si>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</si>
  <si>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</si>
  <si>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</si>
  <si>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</si>
  <si>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</si>
  <si>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</si>
  <si>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</si>
  <si>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</si>
  <si>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</si>
  <si>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</si>
  <si>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</si>
  <si>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</si>
  <si>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</si>
  <si>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</si>
  <si>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</si>
  <si>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</si>
  <si>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</si>
  <si>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</si>
  <si>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</si>
  <si>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</si>
  <si>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</si>
  <si>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</si>
  <si>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</si>
  <si>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</si>
  <si>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</si>
  <si>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</si>
  <si>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</si>
  <si>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</si>
  <si>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</si>
  <si>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</si>
  <si>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</si>
  <si>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</si>
  <si>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</si>
  <si>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</si>
  <si>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</si>
  <si>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</si>
  <si>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</si>
  <si>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</si>
  <si>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</si>
  <si>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</si>
  <si>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</si>
  <si>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</si>
  <si>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</si>
  <si>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</si>
  <si>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</si>
  <si>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</si>
  <si>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</si>
  <si>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</si>
  <si>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</si>
  <si>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</si>
  <si>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</si>
  <si>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</si>
  <si>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</si>
  <si>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</si>
  <si>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</si>
  <si>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</si>
  <si>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</si>
  <si>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</si>
  <si>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</si>
  <si>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</si>
  <si>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</si>
  <si>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</si>
  <si>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</si>
  <si>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</si>
  <si>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</si>
  <si>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</si>
  <si>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</si>
  <si>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</si>
  <si>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</si>
  <si>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</si>
  <si>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</si>
  <si>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</si>
  <si>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</si>
  <si>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</si>
  <si>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</si>
  <si>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</si>
  <si>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</si>
  <si>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</si>
  <si>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</si>
  <si>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</si>
  <si>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</si>
  <si>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</si>
  <si>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</si>
  <si>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</si>
  <si>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</si>
  <si>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</si>
  <si>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</si>
  <si>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</si>
  <si>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</si>
  <si>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</si>
  <si>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</si>
  <si>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</si>
  <si>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</si>
  <si>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</si>
  <si>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</si>
  <si>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</si>
  <si>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</si>
  <si>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</si>
  <si>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</si>
  <si>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</si>
  <si>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</si>
  <si>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</si>
  <si>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</si>
  <si>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</si>
  <si>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</si>
  <si>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</si>
  <si>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</si>
  <si>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</si>
  <si>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</si>
  <si>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</si>
  <si>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</si>
  <si>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</si>
  <si>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</si>
  <si>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</si>
  <si>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</si>
  <si>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</si>
  <si>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</si>
  <si>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</si>
  <si>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</si>
  <si>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</si>
  <si>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</si>
  <si>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</si>
  <si>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</si>
  <si>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</si>
  <si>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</si>
  <si>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</si>
  <si>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</si>
  <si>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</si>
  <si>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</si>
  <si>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</si>
  <si>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</si>
  <si>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</si>
  <si>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</si>
  <si>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</si>
  <si>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</si>
  <si>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</si>
  <si>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</si>
  <si>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</si>
  <si>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</si>
  <si>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</si>
  <si>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</si>
  <si>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</si>
  <si>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</si>
  <si>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</si>
  <si>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</si>
  <si>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</si>
  <si>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</si>
  <si>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</si>
  <si>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</si>
  <si>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</si>
  <si>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</si>
  <si>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</si>
  <si>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</si>
  <si>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</si>
  <si>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</si>
  <si>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</si>
  <si>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</si>
  <si>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</si>
  <si>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</si>
  <si>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</si>
  <si>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</si>
  <si>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</si>
  <si>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</si>
  <si>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</si>
  <si>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</si>
  <si>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</si>
  <si>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</si>
  <si>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</si>
  <si>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</si>
  <si>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</si>
  <si>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</si>
  <si>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</si>
  <si>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</si>
  <si>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</si>
  <si>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</si>
  <si>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</si>
  <si>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</si>
  <si>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</si>
  <si>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</si>
  <si>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</si>
  <si>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</si>
  <si>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</si>
  <si>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</si>
  <si>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</si>
  <si>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</si>
  <si>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</si>
  <si>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</si>
  <si>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</si>
  <si>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</si>
  <si>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</si>
  <si>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</si>
  <si>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</si>
  <si>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</si>
  <si>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</si>
  <si>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</si>
  <si>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</si>
  <si>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</si>
  <si>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</si>
  <si>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</si>
  <si>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</si>
  <si>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</si>
  <si>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</si>
  <si>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</si>
  <si>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</si>
  <si>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</si>
  <si>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</si>
  <si>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</si>
  <si>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</si>
  <si>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</si>
  <si>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</si>
  <si>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</si>
  <si>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</si>
  <si>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</si>
  <si>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</si>
  <si>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</si>
  <si>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</si>
  <si>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</si>
  <si>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</si>
  <si>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</si>
  <si>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</si>
  <si>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</si>
  <si>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</si>
  <si>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</si>
  <si>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</si>
  <si>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</si>
  <si>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</si>
  <si>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</si>
  <si>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</si>
  <si>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</si>
  <si>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</si>
  <si>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</si>
  <si>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</si>
  <si>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</si>
  <si>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</si>
  <si>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</si>
  <si>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</si>
  <si>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</si>
  <si>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</si>
  <si>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</si>
  <si>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</si>
  <si>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</si>
  <si>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</si>
  <si>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</si>
  <si>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</si>
  <si>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</si>
  <si>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</si>
  <si>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</si>
  <si>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</si>
  <si>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</si>
  <si>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</si>
  <si>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</si>
  <si>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</si>
  <si>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</si>
  <si>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</si>
  <si>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</si>
  <si>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</si>
  <si>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</si>
  <si>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</si>
  <si>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</si>
  <si>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</si>
  <si>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</si>
  <si>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</si>
  <si>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</si>
  <si>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</si>
  <si>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</si>
  <si>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</si>
  <si>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</si>
  <si>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</si>
  <si>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</si>
  <si>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</si>
  <si>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</si>
  <si>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</si>
  <si>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</si>
  <si>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</si>
  <si>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</si>
  <si>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</si>
  <si>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</si>
  <si>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</si>
  <si>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</si>
  <si>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</si>
  <si>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</si>
  <si>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</si>
  <si>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</si>
  <si>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</si>
  <si>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</si>
  <si>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</si>
  <si>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</si>
  <si>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</si>
  <si>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</si>
  <si>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</si>
  <si>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</si>
  <si>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</si>
  <si>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</si>
  <si>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</si>
  <si>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</si>
  <si>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</si>
  <si>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</si>
  <si>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</si>
  <si>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</si>
  <si>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</si>
  <si>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</si>
  <si>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</si>
  <si>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</si>
  <si>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</si>
  <si>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</si>
  <si>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</si>
  <si>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</si>
  <si>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</si>
  <si>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</si>
  <si>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</si>
  <si>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</si>
  <si>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</si>
  <si>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</si>
  <si>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</si>
  <si>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</si>
  <si>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</si>
  <si>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</si>
  <si>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</si>
  <si>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</si>
  <si>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</si>
  <si>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</si>
  <si>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</si>
  <si>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</si>
  <si>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</si>
  <si>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</si>
  <si>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</si>
  <si>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</si>
  <si>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</si>
  <si>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</si>
  <si>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</si>
  <si>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</si>
  <si>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</si>
  <si>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</si>
  <si>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</si>
  <si>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</si>
  <si>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</si>
  <si>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</si>
  <si>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</si>
  <si>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</si>
  <si>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</si>
  <si>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</si>
  <si>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</si>
  <si>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</si>
  <si>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</si>
  <si>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</si>
  <si>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</si>
  <si>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</si>
  <si>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</si>
  <si>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</si>
  <si>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</si>
  <si>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</si>
  <si>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</si>
  <si>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</si>
  <si>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</si>
  <si>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</si>
  <si>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</si>
  <si>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</si>
  <si>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</si>
  <si>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</si>
  <si>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</si>
  <si>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</si>
  <si>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</si>
  <si>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</si>
  <si>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</si>
  <si>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</si>
  <si>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</si>
  <si>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</si>
  <si>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</si>
  <si>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</si>
  <si>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</si>
  <si>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</si>
  <si>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</si>
  <si>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</si>
  <si>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</si>
  <si>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</si>
  <si>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</si>
  <si>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</si>
  <si>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</si>
  <si>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</si>
  <si>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</si>
  <si>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</si>
  <si>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</si>
  <si>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</si>
  <si>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</si>
  <si>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</si>
  <si>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</si>
  <si>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</si>
  <si>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</si>
  <si>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</si>
  <si>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</si>
  <si>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</si>
  <si>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</si>
  <si>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</si>
  <si>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</si>
  <si>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</si>
  <si>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</si>
  <si>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</si>
  <si>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</si>
  <si>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</si>
  <si>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</si>
  <si>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</si>
  <si>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</si>
  <si>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</si>
  <si>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</si>
  <si>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</si>
  <si>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</si>
  <si>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</si>
  <si>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</si>
  <si>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</si>
  <si>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</si>
  <si>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</si>
  <si>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</si>
  <si>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</si>
  <si>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</si>
  <si>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</si>
  <si>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</si>
  <si>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</si>
  <si>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</si>
  <si>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</si>
  <si>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</si>
  <si>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</si>
  <si>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</si>
  <si>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</si>
  <si>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</si>
  <si>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</si>
  <si>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</si>
  <si>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</si>
  <si>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</si>
  <si>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</si>
  <si>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</si>
  <si>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</si>
  <si>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</si>
  <si>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</si>
  <si>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</si>
  <si>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</si>
  <si>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</si>
  <si>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</si>
  <si>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</si>
  <si>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</si>
  <si>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</si>
  <si>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</si>
  <si>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</si>
  <si>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</si>
  <si>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</si>
  <si>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</si>
  <si>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</si>
  <si>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</si>
  <si>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</si>
  <si>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</si>
  <si>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</si>
  <si>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</si>
  <si>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</si>
  <si>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</si>
  <si>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</si>
  <si>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</si>
  <si>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</si>
  <si>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</si>
  <si>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</si>
  <si>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</si>
  <si>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</si>
  <si>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</si>
  <si>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</si>
  <si>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</si>
  <si>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</si>
  <si>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</si>
  <si>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</si>
  <si>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</si>
  <si>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</si>
  <si>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</si>
  <si>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</si>
  <si>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</si>
  <si>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</si>
  <si>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</si>
  <si>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</si>
  <si>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</si>
  <si>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</si>
  <si>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</si>
  <si>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</si>
  <si>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</si>
  <si>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</si>
  <si>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</si>
  <si>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</si>
  <si>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</si>
  <si>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</si>
  <si>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</si>
  <si>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</si>
  <si>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</si>
  <si>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</si>
  <si>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</si>
  <si>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</si>
  <si>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</si>
  <si>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</si>
  <si>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</si>
  <si>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</si>
  <si>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</si>
  <si>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</si>
  <si>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</si>
  <si>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</si>
  <si>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</si>
  <si>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</si>
  <si>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</si>
  <si>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</si>
  <si>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</si>
  <si>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</si>
  <si>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</si>
  <si>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</si>
  <si>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</si>
  <si>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</si>
  <si>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</si>
  <si>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</si>
  <si>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</si>
  <si>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</si>
  <si>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</si>
  <si>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</si>
  <si>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</si>
  <si>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</si>
  <si>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</si>
  <si>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</si>
  <si>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</si>
  <si>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</si>
  <si>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</si>
  <si>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</si>
  <si>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</si>
  <si>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</si>
  <si>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</si>
  <si>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</si>
  <si>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</si>
  <si>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</si>
  <si>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</si>
  <si>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</si>
  <si>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</si>
  <si>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</si>
  <si>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</si>
  <si>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</si>
  <si>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</si>
  <si>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</si>
  <si>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</si>
  <si>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</si>
  <si>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</si>
  <si>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</si>
  <si>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</si>
  <si>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</si>
  <si>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</si>
  <si>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</si>
  <si>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</si>
  <si>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</si>
  <si>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</si>
  <si>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</si>
  <si>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</si>
  <si>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</si>
  <si>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</si>
  <si>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</si>
  <si>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</si>
  <si>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</si>
  <si>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</si>
  <si>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</si>
  <si>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</si>
  <si>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</si>
  <si>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</si>
  <si>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</si>
  <si>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</si>
  <si>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</si>
  <si>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</si>
  <si>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</si>
  <si>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</si>
  <si>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</si>
  <si>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</si>
  <si>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</si>
  <si>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</si>
  <si>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</si>
  <si>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</si>
  <si>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</si>
  <si>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</si>
  <si>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</si>
  <si>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</si>
  <si>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</si>
  <si>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</si>
  <si>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</si>
  <si>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</si>
  <si>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</si>
  <si>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</si>
  <si>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</si>
  <si>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</si>
  <si>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</si>
  <si>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</si>
  <si>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</si>
  <si>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</si>
  <si>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</si>
  <si>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</si>
  <si>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</si>
  <si>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</si>
  <si>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</si>
  <si>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</si>
  <si>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</si>
  <si>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</si>
  <si>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</si>
  <si>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</si>
  <si>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</si>
  <si>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</si>
  <si>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</si>
  <si>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</si>
  <si>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</si>
  <si>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</si>
  <si>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</si>
  <si>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</si>
  <si>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</si>
  <si>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</si>
  <si>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</si>
  <si>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</si>
  <si>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</si>
  <si>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</si>
  <si>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</si>
  <si>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</si>
  <si>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</si>
  <si>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</si>
  <si>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</si>
  <si>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</si>
  <si>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</si>
  <si>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</si>
  <si>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</si>
  <si>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</si>
  <si>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</si>
  <si>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</si>
  <si>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</si>
  <si>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</si>
  <si>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</si>
  <si>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</si>
  <si>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</si>
  <si>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</si>
  <si>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</si>
  <si>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</si>
  <si>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</si>
  <si>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</si>
  <si>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</si>
  <si>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</si>
  <si>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</si>
  <si>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</si>
  <si>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</si>
  <si>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</si>
  <si>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</si>
  <si>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</si>
  <si>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</si>
  <si>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</si>
  <si>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</si>
  <si>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</si>
  <si>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</si>
  <si>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</si>
  <si>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</si>
  <si>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</si>
  <si>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</si>
  <si>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</si>
  <si>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</si>
  <si>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</si>
  <si>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</si>
  <si>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</si>
  <si>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</si>
  <si>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</si>
  <si>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</si>
  <si>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</si>
  <si>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</si>
  <si>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</si>
  <si>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</si>
  <si>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</si>
  <si>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</si>
  <si>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</si>
  <si>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</si>
  <si>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</si>
  <si>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</si>
  <si>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</si>
  <si>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</si>
  <si>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</si>
  <si>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</si>
  <si>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</si>
  <si>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</si>
  <si>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</si>
  <si>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</si>
  <si>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</si>
  <si>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</si>
  <si>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</si>
  <si>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</si>
  <si>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</si>
  <si>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</si>
  <si>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</si>
  <si>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</si>
  <si>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</si>
  <si>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</si>
  <si>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</si>
  <si>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</si>
  <si>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</si>
  <si>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</si>
  <si>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</si>
  <si>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</si>
  <si>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</si>
  <si>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</si>
  <si>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</si>
  <si>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</si>
  <si>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</si>
  <si>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</si>
  <si>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</si>
  <si>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</si>
  <si>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</si>
  <si>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</si>
  <si>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</si>
  <si>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</si>
  <si>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</si>
  <si>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</si>
  <si>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</si>
  <si>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</si>
  <si>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</si>
  <si>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</si>
  <si>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</si>
  <si>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</si>
  <si>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</si>
  <si>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</si>
  <si>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</si>
  <si>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</si>
  <si>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</si>
  <si>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</si>
  <si>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</si>
  <si>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</si>
  <si>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</si>
  <si>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</si>
  <si>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</si>
  <si>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</si>
  <si>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</si>
  <si>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</si>
  <si>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</si>
  <si>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</si>
  <si>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</si>
  <si>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</si>
  <si>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</si>
  <si>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</si>
  <si>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</si>
  <si>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</si>
  <si>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</si>
  <si>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</si>
  <si>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</si>
  <si>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</si>
  <si>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</si>
  <si>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</si>
  <si>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</si>
  <si>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</si>
  <si>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</si>
  <si>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</si>
  <si>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</si>
  <si>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</si>
  <si>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</si>
  <si>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</si>
  <si>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</si>
  <si>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</si>
  <si>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</si>
  <si>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</si>
  <si>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</si>
  <si>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</si>
  <si>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</si>
  <si>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</si>
  <si>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</si>
  <si>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</si>
  <si>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</si>
  <si>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</si>
  <si>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</si>
  <si>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</si>
  <si>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</si>
  <si>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</si>
  <si>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</si>
  <si>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</si>
  <si>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</si>
  <si>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</si>
  <si>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</si>
  <si>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</si>
  <si>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</si>
  <si>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</si>
  <si>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</si>
  <si>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</si>
  <si>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</si>
  <si>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</si>
  <si>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</si>
  <si>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</si>
  <si>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</si>
  <si>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</si>
  <si>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</si>
  <si>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</si>
  <si>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</si>
  <si>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</si>
  <si>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</si>
  <si>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</si>
  <si>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</si>
  <si>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</si>
  <si>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</si>
  <si>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</si>
  <si>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</si>
  <si>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</si>
  <si>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</si>
  <si>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</si>
  <si>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</si>
  <si>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</si>
  <si>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</si>
  <si>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</si>
  <si>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</si>
  <si>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</si>
  <si>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</si>
  <si>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</si>
  <si>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</si>
  <si>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</si>
  <si>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</si>
  <si>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</si>
  <si>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</si>
  <si>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</si>
  <si>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</si>
  <si>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</si>
  <si>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</si>
  <si>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</si>
  <si>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</si>
  <si>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</si>
  <si>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</si>
  <si>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</si>
  <si>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</si>
  <si>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</si>
  <si>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</si>
  <si>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</si>
  <si>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</si>
  <si>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</si>
  <si>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</si>
  <si>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</si>
  <si>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</si>
  <si>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</si>
  <si>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</si>
  <si>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</si>
  <si>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</si>
  <si>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</si>
  <si>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</si>
  <si>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</si>
  <si>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</si>
  <si>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</si>
  <si>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</si>
  <si>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</si>
  <si>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</si>
  <si>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</si>
  <si>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</si>
  <si>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</si>
  <si>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</si>
  <si>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</si>
  <si>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</si>
  <si>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</si>
  <si>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</si>
  <si>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</si>
  <si>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</si>
  <si>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</si>
  <si>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</si>
  <si>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</si>
  <si>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</si>
  <si>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</si>
  <si>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</si>
  <si>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</si>
  <si>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</si>
  <si>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</si>
  <si>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</si>
  <si>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</si>
  <si>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</si>
  <si>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</si>
  <si>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</si>
  <si>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</si>
  <si>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</si>
  <si>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</si>
  <si>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</si>
  <si>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</si>
  <si>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</si>
  <si>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</si>
  <si>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</si>
  <si>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</si>
  <si>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</si>
  <si>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</si>
  <si>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</si>
  <si>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</si>
  <si>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</si>
  <si>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</si>
  <si>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</si>
  <si>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</si>
  <si>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</si>
  <si>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</si>
  <si>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</si>
  <si>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</si>
  <si>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</si>
  <si>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</si>
  <si>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</si>
  <si>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</si>
  <si>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</si>
  <si>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</si>
  <si>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</si>
  <si>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</si>
  <si>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</si>
  <si>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</si>
  <si>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</si>
  <si>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</si>
  <si>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</si>
  <si>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</si>
  <si>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</si>
  <si>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</si>
  <si>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</si>
  <si>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</si>
  <si>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</si>
  <si>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</si>
  <si>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</si>
  <si>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</si>
  <si>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</si>
  <si>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</si>
  <si>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</si>
  <si>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</si>
  <si>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</si>
  <si>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</si>
  <si>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</si>
  <si>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</si>
  <si>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</si>
  <si>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</si>
  <si>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</si>
  <si>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</si>
  <si>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</si>
  <si>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</si>
  <si>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</si>
  <si>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</si>
  <si>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</si>
  <si>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</si>
  <si>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</si>
  <si>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</si>
  <si>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</si>
  <si>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</si>
  <si>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</si>
  <si>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</si>
  <si>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</si>
  <si>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</si>
  <si>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</si>
  <si>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</si>
  <si>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</si>
  <si>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</si>
  <si>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</si>
  <si>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</si>
  <si>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</si>
  <si>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</si>
  <si>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</si>
  <si>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</si>
  <si>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</si>
  <si>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</si>
  <si>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</si>
  <si>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</si>
  <si>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</si>
  <si>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</si>
  <si>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</si>
  <si>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</si>
  <si>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</si>
  <si>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</si>
  <si>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</si>
  <si>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</si>
  <si>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</si>
  <si>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</si>
  <si>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</si>
  <si>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</si>
  <si>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</si>
  <si>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</si>
  <si>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</si>
  <si>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</si>
  <si>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</si>
  <si>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</si>
  <si>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</si>
  <si>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</si>
  <si>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</si>
  <si>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</si>
  <si>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</si>
  <si>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</si>
  <si>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</si>
  <si>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</si>
  <si>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</si>
  <si>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</si>
  <si>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</si>
  <si>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</si>
  <si>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</si>
  <si>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</si>
  <si>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</si>
  <si>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</si>
  <si>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</si>
  <si>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</si>
  <si>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</si>
  <si>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</si>
  <si>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</si>
  <si>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</si>
  <si>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</si>
  <si>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</si>
  <si>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</si>
  <si>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</si>
  <si>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</si>
  <si>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</si>
  <si>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</si>
  <si>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</si>
  <si>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</si>
  <si>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</si>
  <si>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</si>
  <si>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</si>
  <si>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</si>
  <si>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</si>
  <si>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</si>
  <si>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</si>
  <si>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</si>
  <si>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</si>
  <si>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</si>
  <si>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</si>
  <si>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</si>
  <si>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</si>
  <si>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</si>
  <si>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</si>
  <si>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</si>
  <si>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</si>
  <si>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</si>
  <si>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</si>
  <si>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</si>
  <si>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</si>
  <si>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</si>
  <si>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</si>
  <si>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</si>
  <si>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</si>
  <si>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</si>
  <si>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</si>
  <si>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</si>
  <si>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</si>
  <si>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</si>
  <si>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</si>
  <si>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</si>
  <si>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</si>
  <si>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</si>
  <si>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</si>
  <si>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</si>
  <si>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</si>
  <si>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</si>
  <si>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</si>
  <si>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</si>
  <si>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</si>
  <si>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</si>
  <si>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</si>
  <si>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</si>
  <si>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</si>
  <si>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</si>
  <si>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</si>
  <si>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</si>
  <si>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</si>
  <si>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</si>
  <si>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</si>
  <si>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</si>
  <si>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</si>
  <si>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</si>
  <si>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</si>
  <si>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</si>
  <si>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</si>
  <si>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</si>
  <si>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</si>
  <si>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</si>
  <si>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</si>
  <si>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</si>
  <si>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</si>
  <si>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</si>
  <si>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</si>
  <si>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</si>
  <si>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</si>
  <si>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</si>
  <si>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</si>
  <si>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</si>
  <si>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</si>
  <si>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</si>
  <si>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</si>
  <si>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</si>
  <si>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</si>
  <si>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</si>
  <si>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</si>
  <si>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</si>
  <si>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</si>
  <si>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</si>
  <si>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</si>
  <si>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</si>
  <si>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</si>
  <si>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</si>
  <si>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</si>
  <si>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</si>
  <si>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</si>
  <si>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</si>
  <si>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</si>
  <si>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</si>
  <si>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</si>
  <si>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</si>
  <si>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</si>
  <si>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</si>
  <si>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</si>
  <si>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</si>
  <si>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</si>
  <si>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</si>
  <si>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</si>
  <si>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</si>
  <si>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</si>
  <si>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</si>
  <si>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</si>
  <si>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</si>
  <si>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</si>
  <si>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</si>
  <si>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</si>
  <si>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</si>
  <si>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</si>
  <si>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</si>
  <si>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</si>
  <si>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</si>
  <si>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</si>
  <si>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</si>
  <si>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</si>
  <si>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</si>
  <si>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</si>
  <si>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</si>
  <si>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</si>
  <si>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</si>
  <si>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</si>
  <si>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</si>
  <si>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</si>
  <si>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</si>
  <si>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</si>
  <si>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</si>
  <si>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</si>
  <si>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</si>
  <si>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</si>
  <si>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</si>
  <si>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</si>
  <si>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</si>
  <si>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</si>
  <si>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</si>
  <si>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</si>
  <si>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</si>
  <si>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</si>
  <si>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</si>
  <si>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</si>
  <si>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</si>
  <si>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</si>
  <si>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</si>
  <si>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</si>
  <si>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</si>
  <si>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</si>
  <si>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</si>
  <si>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</si>
  <si>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</si>
  <si>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</si>
  <si>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</si>
  <si>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</si>
  <si>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</si>
  <si>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</si>
  <si>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</si>
  <si>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</si>
  <si>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</si>
  <si>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</si>
  <si>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</si>
  <si>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</si>
  <si>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</si>
  <si>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</si>
  <si>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</si>
  <si>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</si>
  <si>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</si>
  <si>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</si>
  <si>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</si>
  <si>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</si>
  <si>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</si>
  <si>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</si>
  <si>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</si>
  <si>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</si>
  <si>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</si>
  <si>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</si>
  <si>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</si>
  <si>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</si>
  <si>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</si>
  <si>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</si>
  <si>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</si>
  <si>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</si>
  <si>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</si>
  <si>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</si>
  <si>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</si>
  <si>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</si>
  <si>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</si>
  <si>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</si>
  <si>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</si>
  <si>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</si>
  <si>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</si>
  <si>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</si>
  <si>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</si>
  <si>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</si>
  <si>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</si>
  <si>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</si>
  <si>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</si>
  <si>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</si>
  <si>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</si>
  <si>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</si>
  <si>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</si>
  <si>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</si>
  <si>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</si>
  <si>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</si>
  <si>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</si>
  <si>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</si>
  <si>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</si>
  <si>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</si>
  <si>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</si>
  <si>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</si>
  <si>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</si>
  <si>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</si>
  <si>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</si>
  <si>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</si>
  <si>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</si>
  <si>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</si>
  <si>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</si>
  <si>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</si>
  <si>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</si>
  <si>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</si>
  <si>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</si>
  <si>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</si>
  <si>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</si>
  <si>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</si>
  <si>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</si>
  <si>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</si>
  <si>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</si>
  <si>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</si>
  <si>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</si>
  <si>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</si>
  <si>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</si>
  <si>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</si>
  <si>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</si>
  <si>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</si>
  <si>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</si>
  <si>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</si>
  <si>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</si>
  <si>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</si>
  <si>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</si>
  <si>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</si>
  <si>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</si>
  <si>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</si>
  <si>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</si>
  <si>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</si>
  <si>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</si>
  <si>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</si>
  <si>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</si>
  <si>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</si>
  <si>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</si>
  <si>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</si>
  <si>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</si>
  <si>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</si>
  <si>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</si>
  <si>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</si>
  <si>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</si>
  <si>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</si>
  <si>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</si>
  <si>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</si>
  <si>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</si>
  <si>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</si>
  <si>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</si>
  <si>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</si>
  <si>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</si>
  <si>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</si>
  <si>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</si>
  <si>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</si>
  <si>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</si>
  <si>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</si>
  <si>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</si>
  <si>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</si>
  <si>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</si>
  <si>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</si>
  <si>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</si>
  <si>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</si>
  <si>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</si>
  <si>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</si>
  <si>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</si>
  <si>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</si>
  <si>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</si>
  <si>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</si>
  <si>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</si>
  <si>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</si>
  <si>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</si>
  <si>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</si>
  <si>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</si>
  <si>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</si>
  <si>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</si>
  <si>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</si>
  <si>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</si>
  <si>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</si>
  <si>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</si>
  <si>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</si>
  <si>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</si>
  <si>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</si>
  <si>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</si>
  <si>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</si>
  <si>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</si>
  <si>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</si>
  <si>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</si>
  <si>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</si>
  <si>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</si>
  <si>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</si>
  <si>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</si>
  <si>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</si>
  <si>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</si>
  <si>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</si>
  <si>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</si>
  <si>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</si>
  <si>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</si>
  <si>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</si>
  <si>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</si>
  <si>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</si>
  <si>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</si>
  <si>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</si>
  <si>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</si>
  <si>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</si>
  <si>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</si>
  <si>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</si>
  <si>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</si>
  <si>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</si>
  <si>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</si>
  <si>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</si>
  <si>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</si>
  <si>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</si>
  <si>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</si>
  <si>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</si>
  <si>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</si>
  <si>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</si>
  <si>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</si>
  <si>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</si>
  <si>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</si>
  <si>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</si>
  <si>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</si>
  <si>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</si>
  <si>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</si>
  <si>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</si>
  <si>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</si>
  <si>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</si>
  <si>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</si>
  <si>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</si>
  <si>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</si>
  <si>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</si>
  <si>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</si>
  <si>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</si>
  <si>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</si>
  <si>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</si>
  <si>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</si>
  <si>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</si>
  <si>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</si>
  <si>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</si>
  <si>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</si>
  <si>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</si>
  <si>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</si>
  <si>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</si>
  <si>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</si>
  <si>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</si>
  <si>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</si>
  <si>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</si>
  <si>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</si>
  <si>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</si>
  <si>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</si>
  <si>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</si>
  <si>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</si>
  <si>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</si>
  <si>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</si>
  <si>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</si>
  <si>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</si>
  <si>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</si>
  <si>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</si>
  <si>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</si>
  <si>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</si>
  <si>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</si>
  <si>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</si>
  <si>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</si>
  <si>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</si>
  <si>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</si>
  <si>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</si>
  <si>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</si>
  <si>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</si>
  <si>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</si>
  <si>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</si>
  <si>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</si>
  <si>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</si>
  <si>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</si>
  <si>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</si>
  <si>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</si>
  <si>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</si>
  <si>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</si>
  <si>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</si>
  <si>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</si>
  <si>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</si>
  <si>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</si>
  <si>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</si>
  <si>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</si>
  <si>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</si>
  <si>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</si>
  <si>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</si>
  <si>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</si>
  <si>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</si>
  <si>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</si>
  <si>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</si>
  <si>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</si>
  <si>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</si>
  <si>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</si>
  <si>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</si>
  <si>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</si>
  <si>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</si>
  <si>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</si>
  <si>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</si>
  <si>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</si>
  <si>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</si>
  <si>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</si>
  <si>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</si>
  <si>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</si>
  <si>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</si>
  <si>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</si>
  <si>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</si>
  <si>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</si>
  <si>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</si>
  <si>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</si>
  <si>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</si>
  <si>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</si>
  <si>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</si>
  <si>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</si>
  <si>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</si>
  <si>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</si>
  <si>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</si>
  <si>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</si>
  <si>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</si>
  <si>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</si>
  <si>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</si>
  <si>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</si>
  <si>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</si>
  <si>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</si>
  <si>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</si>
  <si>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</si>
  <si>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</si>
  <si>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</si>
  <si>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</si>
  <si>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</si>
  <si>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</si>
  <si>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</si>
  <si>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</si>
  <si>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</si>
  <si>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</si>
  <si>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</si>
  <si>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</si>
  <si>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</si>
  <si>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</si>
  <si>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</si>
  <si>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</si>
  <si>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</si>
  <si>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</si>
  <si>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</si>
  <si>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</si>
  <si>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</si>
  <si>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</si>
  <si>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</si>
  <si>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</si>
  <si>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</si>
  <si>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</si>
  <si>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</si>
  <si>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</si>
  <si>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</si>
  <si>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</si>
  <si>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</si>
  <si>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</si>
  <si>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</si>
  <si>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</si>
  <si>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</si>
  <si>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</si>
  <si>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</si>
  <si>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</si>
  <si>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</si>
  <si>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</si>
  <si>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</si>
  <si>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</si>
  <si>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</si>
  <si>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</si>
  <si>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</si>
  <si>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</si>
  <si>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</si>
  <si>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</si>
  <si>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</si>
  <si>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</si>
  <si>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</si>
  <si>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</si>
  <si>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</si>
  <si>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</si>
  <si>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</si>
  <si>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</si>
  <si>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</si>
  <si>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</si>
  <si>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</si>
  <si>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</si>
  <si>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</si>
  <si>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</si>
  <si>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</si>
  <si>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</si>
  <si>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</si>
  <si>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</si>
  <si>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</si>
  <si>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</si>
  <si>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</si>
  <si>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</si>
  <si>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</si>
  <si>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</si>
  <si>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</si>
  <si>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</si>
  <si>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</si>
  <si>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</si>
  <si>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</si>
  <si>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</si>
  <si>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</si>
  <si>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</si>
  <si>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</si>
  <si>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</si>
  <si>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</si>
  <si>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</si>
  <si>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</si>
  <si>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</si>
  <si>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</si>
  <si>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</si>
  <si>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</si>
  <si>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</si>
  <si>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</si>
  <si>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</si>
  <si>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</si>
  <si>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</si>
  <si>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</si>
  <si>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</si>
  <si>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</si>
  <si>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</si>
  <si>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</si>
  <si>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</si>
  <si>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</si>
  <si>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</si>
  <si>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</si>
  <si>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</si>
  <si>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</si>
  <si>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</si>
  <si>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</si>
  <si>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</si>
  <si>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</si>
  <si>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</si>
  <si>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</si>
  <si>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</si>
  <si>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</si>
  <si>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</si>
  <si>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</si>
  <si>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</si>
  <si>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</si>
  <si>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</si>
  <si>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</si>
  <si>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</si>
  <si>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</si>
  <si>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</si>
  <si>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</si>
  <si>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</si>
  <si>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</si>
  <si>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</si>
  <si>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</si>
  <si>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</si>
  <si>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</si>
  <si>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</si>
  <si>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</si>
  <si>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</si>
  <si>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</si>
  <si>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</si>
  <si>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</si>
  <si>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</si>
  <si>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</si>
  <si>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</si>
  <si>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</si>
  <si>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</si>
  <si>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</si>
  <si>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</si>
  <si>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</si>
  <si>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</si>
  <si>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</si>
  <si>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</si>
  <si>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</si>
  <si>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</si>
  <si>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</si>
  <si>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</si>
  <si>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</si>
  <si>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</si>
  <si>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</si>
  <si>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</si>
  <si>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</si>
  <si>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</si>
  <si>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</si>
  <si>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</si>
  <si>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</si>
  <si>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</si>
  <si>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</si>
  <si>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</si>
  <si>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</si>
  <si>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</si>
  <si>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</si>
  <si>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</si>
  <si>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</si>
  <si>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</si>
  <si>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</si>
  <si>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</si>
  <si>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</si>
  <si>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</si>
  <si>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</si>
  <si>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</si>
  <si>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</si>
  <si>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</si>
  <si>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</si>
  <si>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</si>
  <si>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</si>
  <si>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</si>
  <si>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</si>
  <si>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</si>
  <si>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</si>
  <si>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</si>
  <si>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</si>
  <si>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</si>
  <si>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</si>
  <si>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</si>
  <si>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</si>
  <si>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</si>
  <si>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</si>
  <si>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</si>
  <si>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</si>
  <si>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</si>
  <si>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</si>
  <si>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</si>
  <si>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</si>
  <si>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</si>
  <si>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</si>
  <si>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</si>
  <si>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</si>
  <si>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</si>
  <si>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</si>
  <si>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</si>
  <si>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</si>
  <si>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</si>
  <si>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</si>
  <si>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</si>
  <si>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</si>
  <si>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</si>
  <si>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</si>
  <si>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</si>
  <si>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</si>
  <si>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</si>
  <si>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</si>
  <si>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</si>
  <si>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</si>
  <si>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</si>
  <si>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</si>
  <si>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</si>
  <si>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</si>
  <si>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</si>
  <si>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</si>
  <si>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</si>
  <si>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</si>
  <si>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</si>
  <si>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</si>
  <si>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</si>
  <si>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</si>
  <si>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</si>
  <si>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</si>
  <si>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</si>
  <si>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</si>
  <si>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</si>
  <si>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</si>
  <si>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</si>
  <si>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</si>
  <si>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</si>
  <si>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</si>
  <si>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</si>
  <si>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</si>
  <si>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</si>
  <si>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</si>
  <si>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</si>
  <si>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</si>
  <si>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</si>
  <si>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</si>
  <si>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</si>
  <si>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</si>
  <si>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</si>
  <si>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</si>
  <si>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</si>
  <si>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</si>
  <si>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</si>
  <si>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</si>
  <si>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</si>
  <si>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</si>
  <si>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</si>
  <si>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</si>
  <si>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</si>
  <si>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</si>
  <si>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</si>
  <si>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</si>
  <si>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</si>
  <si>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</si>
  <si>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</si>
  <si>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</si>
  <si>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</si>
  <si>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</si>
  <si>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</si>
  <si>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</si>
  <si>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</si>
  <si>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</si>
  <si>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</si>
  <si>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</si>
  <si>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</si>
  <si>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</si>
  <si>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</si>
  <si>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</si>
  <si>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</si>
  <si>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</si>
  <si>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</si>
  <si>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</si>
  <si>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</si>
  <si>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</si>
  <si>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</si>
  <si>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</si>
  <si>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</si>
  <si>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</si>
  <si>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</si>
  <si>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</si>
  <si>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</si>
  <si>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</si>
  <si>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</si>
  <si>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</si>
  <si>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</si>
  <si>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</si>
  <si>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</si>
  <si>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</si>
  <si>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</si>
  <si>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</si>
  <si>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</si>
  <si>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</si>
  <si>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</si>
  <si>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</si>
  <si>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</si>
  <si>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</si>
  <si>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</si>
  <si>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</si>
  <si>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</si>
  <si>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</si>
  <si>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</si>
  <si>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</si>
  <si>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</si>
  <si>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</si>
  <si>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</si>
  <si>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</si>
  <si>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</si>
  <si>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</si>
  <si>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</si>
  <si>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</si>
  <si>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</si>
  <si>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</si>
  <si>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</si>
  <si>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</si>
  <si>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</si>
  <si>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</si>
  <si>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</si>
  <si>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</si>
  <si>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</si>
  <si>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</si>
  <si>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</si>
  <si>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</si>
  <si>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</si>
  <si>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</si>
  <si>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</si>
  <si>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</si>
  <si>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</si>
  <si>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</si>
  <si>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</si>
  <si>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</si>
  <si>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</si>
  <si>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</si>
  <si>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</si>
  <si>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</si>
  <si>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</si>
  <si>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</si>
  <si>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</si>
  <si>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</si>
  <si>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</si>
  <si>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</si>
  <si>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</si>
  <si>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</si>
  <si>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</si>
  <si>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</si>
  <si>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</si>
  <si>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</si>
  <si>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</si>
  <si>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</si>
  <si>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</si>
  <si>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</si>
  <si>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</si>
  <si>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</si>
  <si>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</si>
  <si>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</si>
  <si>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</si>
  <si>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</si>
  <si>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</si>
  <si>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</si>
  <si>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</si>
  <si>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</si>
  <si>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</si>
  <si>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</si>
  <si>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</si>
  <si>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</si>
  <si>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</si>
  <si>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</si>
  <si>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</si>
  <si>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</si>
  <si>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</si>
  <si>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</si>
  <si>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</si>
  <si>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</si>
  <si>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</si>
  <si>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</si>
  <si>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</si>
  <si>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</si>
  <si>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</si>
  <si>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</si>
  <si>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</si>
  <si>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</si>
  <si>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</si>
  <si>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</si>
  <si>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</si>
  <si>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</si>
  <si>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</si>
  <si>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</si>
  <si>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</si>
  <si>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</si>
  <si>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</si>
  <si>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</si>
  <si>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</si>
  <si>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</si>
  <si>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</si>
  <si>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</si>
  <si>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</si>
  <si>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</si>
  <si>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</si>
  <si>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</si>
  <si>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</si>
  <si>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</si>
  <si>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</si>
  <si>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</si>
  <si>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</si>
  <si>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</si>
  <si>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</si>
  <si>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</si>
  <si>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</si>
  <si>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</si>
  <si>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</si>
  <si>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</si>
  <si>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</si>
  <si>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</si>
  <si>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</si>
  <si>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</si>
  <si>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</si>
  <si>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</si>
  <si>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</si>
  <si>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</si>
  <si>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</si>
  <si>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</si>
  <si>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</si>
  <si>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</si>
  <si>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</si>
  <si>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</si>
  <si>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</si>
  <si>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</si>
  <si>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</si>
  <si>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</si>
  <si>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</si>
  <si>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</si>
  <si>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</si>
  <si>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</si>
  <si>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</si>
  <si>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</si>
  <si>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</si>
  <si>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</si>
  <si>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</si>
  <si>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</si>
  <si>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</si>
  <si>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</si>
  <si>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</si>
  <si>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</si>
  <si>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</si>
  <si>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</si>
  <si>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</si>
  <si>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</si>
  <si>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</si>
  <si>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</si>
  <si>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</si>
  <si>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</si>
  <si>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</si>
  <si>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</si>
  <si>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</si>
  <si>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</si>
  <si>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</si>
  <si>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</si>
  <si>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</si>
  <si>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</si>
  <si>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</si>
  <si>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</si>
  <si>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</si>
  <si>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</si>
  <si>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</si>
  <si>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</si>
  <si>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</si>
  <si>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</si>
  <si>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</si>
  <si>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</si>
  <si>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</si>
  <si>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</si>
  <si>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</si>
  <si>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</si>
  <si>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</si>
  <si>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</si>
  <si>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</si>
  <si>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</si>
  <si>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</si>
  <si>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</si>
  <si>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</si>
  <si>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</si>
  <si>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</si>
  <si>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</si>
  <si>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</si>
  <si>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</si>
  <si>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</si>
  <si>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</si>
  <si>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</si>
  <si>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</si>
  <si>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</si>
  <si>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</si>
  <si>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</si>
  <si>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</si>
  <si>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</si>
  <si>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</si>
  <si>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</si>
  <si>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</si>
  <si>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</si>
  <si>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</si>
  <si>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</si>
  <si>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</si>
  <si>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</si>
  <si>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</si>
  <si>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</si>
  <si>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</si>
  <si>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</si>
  <si>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</si>
  <si>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</si>
  <si>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</si>
  <si>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</si>
  <si>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</si>
  <si>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</si>
  <si>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</si>
  <si>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</si>
  <si>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</si>
  <si>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</si>
  <si>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</si>
  <si>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</si>
  <si>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</si>
  <si>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</si>
  <si>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</si>
  <si>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</si>
  <si>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</si>
  <si>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</si>
  <si>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</si>
  <si>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</si>
  <si>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</si>
  <si>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</si>
  <si>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</si>
  <si>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</si>
  <si>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</si>
  <si>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</si>
  <si>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</si>
  <si>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</si>
  <si>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</si>
  <si>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</si>
  <si>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</si>
  <si>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</si>
  <si>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</si>
  <si>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</si>
  <si>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</si>
  <si>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</si>
  <si>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</si>
  <si>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</si>
  <si>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</si>
  <si>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</si>
  <si>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</si>
  <si>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</si>
  <si>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</si>
  <si>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</si>
  <si>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</si>
  <si>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</si>
  <si>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</si>
  <si>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</si>
  <si>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</si>
  <si>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</si>
  <si>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</si>
  <si>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</si>
  <si>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</si>
  <si>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</si>
  <si>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</si>
  <si>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</si>
  <si>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</si>
  <si>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</si>
  <si>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</si>
  <si>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</si>
  <si>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</si>
  <si>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</si>
  <si>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</si>
  <si>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</si>
  <si>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</si>
  <si>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</si>
  <si>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</si>
  <si>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</si>
  <si>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</si>
  <si>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</si>
  <si>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</si>
  <si>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</si>
  <si>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</si>
  <si>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</si>
  <si>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</si>
  <si>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</si>
  <si>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</si>
  <si>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</si>
  <si>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</si>
  <si>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</si>
  <si>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</si>
  <si>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</si>
  <si>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</si>
  <si>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</si>
  <si>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</si>
  <si>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</si>
  <si>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</si>
  <si>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</si>
  <si>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</si>
  <si>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</si>
  <si>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</si>
  <si>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</si>
  <si>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</si>
  <si>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</si>
  <si>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</si>
  <si>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</si>
  <si>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</si>
  <si>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</si>
  <si>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</si>
  <si>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</si>
  <si>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</si>
  <si>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</si>
  <si>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</si>
  <si>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</si>
  <si>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</si>
  <si>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</si>
  <si>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</si>
  <si>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</si>
  <si>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</si>
  <si>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</si>
  <si>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</si>
  <si>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</si>
  <si>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</si>
  <si>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</si>
  <si>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</si>
  <si>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</si>
  <si>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</si>
  <si>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</si>
  <si>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</si>
  <si>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</si>
  <si>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</si>
  <si>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</si>
  <si>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</si>
  <si>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</si>
  <si>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</si>
  <si>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</si>
  <si>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</si>
  <si>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</si>
  <si>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</si>
  <si>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</si>
  <si>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</si>
  <si>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</si>
  <si>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</si>
  <si>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</si>
  <si>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</si>
  <si>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</si>
  <si>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</si>
  <si>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</si>
  <si>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</si>
  <si>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</si>
  <si>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</si>
  <si>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</si>
  <si>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</si>
  <si>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</si>
  <si>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</si>
  <si>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</si>
  <si>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</si>
  <si>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</si>
  <si>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</si>
  <si>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</si>
  <si>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</si>
  <si>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</si>
  <si>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</si>
  <si>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</si>
  <si>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</si>
  <si>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</si>
  <si>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</si>
  <si>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</si>
  <si>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</si>
  <si>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</si>
  <si>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</si>
  <si>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</si>
  <si>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</si>
  <si>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</si>
  <si>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</si>
  <si>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</si>
  <si>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</si>
  <si>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</si>
  <si>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</si>
  <si>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</si>
  <si>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</si>
  <si>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</si>
  <si>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</si>
  <si>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</si>
  <si>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</si>
  <si>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</si>
  <si>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</si>
  <si>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</si>
  <si>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</si>
  <si>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</si>
  <si>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</si>
  <si>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</si>
  <si>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</si>
  <si>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</si>
  <si>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</si>
  <si>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</si>
  <si>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</si>
  <si>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</si>
  <si>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</si>
  <si>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</si>
  <si>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</si>
  <si>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</si>
  <si>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</si>
  <si>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</si>
  <si>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</si>
  <si>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</si>
  <si>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</si>
  <si>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</si>
  <si>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</si>
  <si>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</si>
  <si>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</si>
  <si>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</si>
  <si>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</si>
  <si>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</si>
  <si>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</si>
  <si>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</si>
  <si>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</si>
  <si>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</si>
  <si>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</si>
  <si>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</si>
  <si>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</si>
  <si>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</si>
  <si>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</si>
  <si>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</si>
  <si>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</si>
  <si>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</si>
  <si>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</si>
  <si>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</si>
  <si>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</si>
  <si>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</si>
  <si>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</si>
  <si>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</si>
  <si>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</si>
  <si>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</si>
  <si>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</si>
  <si>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</si>
  <si>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</si>
  <si>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</si>
  <si>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</si>
  <si>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</si>
  <si>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</si>
  <si>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</si>
  <si>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</si>
  <si>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</si>
  <si>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</si>
  <si>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</si>
  <si>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</si>
  <si>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</si>
  <si>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</si>
  <si>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</si>
  <si>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</si>
  <si>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</si>
  <si>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</si>
  <si>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</si>
  <si>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</si>
  <si>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</si>
  <si>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</si>
  <si>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</si>
  <si>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</si>
  <si>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</si>
  <si>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</si>
  <si>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</si>
  <si>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</si>
  <si>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</si>
  <si>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</si>
  <si>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</si>
  <si>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</si>
  <si>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</si>
  <si>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</si>
  <si>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</si>
  <si>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</si>
  <si>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</si>
  <si>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</si>
  <si>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</si>
  <si>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</si>
  <si>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</si>
  <si>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</si>
  <si>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</si>
  <si>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</si>
  <si>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</si>
  <si>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</si>
  <si>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</si>
  <si>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</si>
  <si>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</si>
  <si>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</si>
  <si>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</si>
  <si>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</si>
  <si>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</si>
  <si>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</si>
  <si>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</si>
  <si>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</si>
  <si>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</si>
  <si>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</si>
  <si>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</si>
  <si>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</si>
  <si>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</si>
  <si>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</si>
  <si>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</si>
  <si>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</si>
  <si>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</si>
  <si>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</si>
  <si>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</si>
  <si>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</si>
  <si>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</si>
  <si>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</si>
  <si>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</si>
  <si>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</si>
  <si>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</si>
  <si>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</si>
  <si>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</si>
  <si>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</si>
  <si>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</si>
  <si>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</si>
  <si>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</si>
  <si>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</si>
  <si>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</si>
  <si>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</si>
  <si>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</si>
  <si>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</si>
  <si>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</si>
  <si>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</si>
  <si>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</si>
  <si>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</si>
  <si>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</si>
  <si>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</si>
  <si>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</si>
  <si>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</si>
  <si>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</si>
  <si>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</si>
  <si>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</si>
  <si>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</si>
  <si>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</si>
  <si>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</si>
  <si>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</si>
  <si>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</si>
  <si>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</si>
  <si>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</si>
  <si>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</si>
  <si>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</si>
  <si>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</si>
  <si>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</si>
  <si>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</si>
  <si>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</si>
  <si>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</si>
  <si>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</si>
  <si>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</si>
  <si>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</si>
  <si>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</si>
  <si>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</si>
  <si>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</si>
  <si>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</si>
  <si>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</si>
  <si>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</si>
  <si>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</si>
  <si>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</si>
  <si>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</si>
  <si>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</si>
  <si>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</si>
  <si>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</si>
  <si>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</si>
  <si>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</si>
  <si>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</si>
  <si>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</si>
  <si>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</si>
  <si>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</si>
  <si>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</si>
  <si>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</si>
  <si>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</si>
  <si>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</si>
  <si>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</si>
  <si>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</si>
  <si>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</si>
  <si>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</si>
  <si>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</si>
  <si>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</si>
  <si>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</si>
  <si>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</si>
  <si>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</si>
  <si>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</si>
  <si>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</si>
  <si>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</si>
  <si>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</si>
  <si>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</si>
  <si>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</si>
  <si>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</si>
  <si>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</si>
  <si>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</si>
  <si>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</si>
  <si>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</si>
  <si>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</si>
  <si>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</si>
  <si>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</si>
  <si>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</si>
  <si>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</si>
  <si>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</si>
  <si>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</si>
  <si>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</si>
  <si>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</si>
  <si>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</si>
  <si>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</si>
  <si>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</si>
  <si>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</si>
  <si>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</si>
  <si>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</si>
  <si>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</si>
  <si>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</si>
  <si>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</si>
  <si>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</si>
  <si>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</si>
  <si>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</si>
  <si>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</si>
  <si>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</si>
  <si>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</si>
  <si>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</si>
  <si>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</si>
  <si>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</si>
  <si>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</si>
  <si>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</si>
  <si>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</si>
  <si>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</si>
  <si>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</si>
  <si>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</si>
  <si>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</si>
  <si>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</si>
  <si>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</si>
  <si>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</si>
  <si>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</si>
  <si>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</si>
  <si>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</si>
  <si>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</si>
  <si>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</si>
  <si>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</si>
  <si>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</si>
  <si>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</si>
  <si>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</si>
  <si>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</si>
  <si>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</si>
  <si>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</si>
  <si>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</si>
  <si>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</si>
  <si>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</si>
  <si>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</si>
  <si>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</si>
  <si>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</si>
  <si>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</si>
  <si>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</si>
  <si>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</si>
  <si>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</si>
  <si>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</si>
  <si>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</si>
  <si>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</si>
  <si>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</si>
  <si>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</si>
  <si>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</si>
  <si>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</si>
  <si>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</si>
  <si>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</si>
  <si>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</si>
  <si>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</si>
  <si>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</si>
  <si>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</si>
  <si>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</si>
  <si>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</si>
  <si>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</si>
  <si>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</si>
  <si>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</si>
  <si>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</si>
  <si>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</si>
  <si>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</si>
  <si>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</si>
  <si>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</si>
  <si>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</si>
  <si>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</si>
  <si>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</si>
  <si>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</si>
  <si>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</si>
  <si>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</si>
  <si>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</si>
  <si>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</si>
  <si>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</si>
  <si>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</si>
  <si>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</si>
  <si>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</si>
  <si>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</si>
  <si>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</si>
  <si>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</si>
  <si>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</si>
  <si>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</si>
  <si>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</si>
  <si>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</si>
  <si>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</si>
  <si>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</si>
  <si>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</si>
  <si>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</si>
  <si>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</si>
  <si>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</si>
  <si>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</si>
  <si>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</si>
  <si>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</si>
  <si>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</si>
  <si>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</si>
  <si>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</si>
  <si>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</si>
  <si>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</si>
  <si>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</si>
  <si>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</si>
  <si>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</si>
  <si>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</si>
  <si>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</si>
  <si>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</si>
  <si>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</si>
  <si>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</si>
  <si>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</si>
  <si>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</si>
  <si>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</si>
  <si>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</si>
  <si>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</si>
  <si>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</si>
  <si>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</si>
  <si>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</si>
  <si>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</si>
  <si>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</si>
  <si>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</si>
  <si>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</si>
  <si>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</si>
  <si>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</si>
  <si>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</si>
  <si>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</si>
  <si>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</si>
  <si>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</si>
  <si>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</si>
  <si>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</si>
  <si>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</si>
  <si>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</si>
  <si>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</si>
  <si>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</si>
  <si>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</si>
  <si>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</si>
  <si>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</si>
  <si>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</si>
  <si>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</si>
  <si>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</si>
  <si>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</si>
  <si>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</si>
  <si>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</si>
  <si>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</si>
  <si>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</si>
  <si>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</si>
  <si>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</si>
  <si>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</si>
  <si>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</si>
  <si>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</si>
  <si>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</si>
  <si>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</si>
  <si>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</si>
  <si>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</si>
  <si>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</si>
  <si>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</si>
  <si>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</si>
  <si>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</si>
  <si>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</si>
  <si>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</si>
  <si>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</si>
  <si>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</si>
  <si>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</si>
  <si>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</si>
  <si>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</si>
  <si>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</si>
  <si>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</si>
  <si>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</si>
  <si>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</si>
  <si>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</si>
  <si>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</si>
  <si>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</si>
  <si>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</si>
  <si>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</si>
  <si>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</si>
  <si>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</si>
  <si>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</si>
  <si>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</si>
  <si>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</si>
  <si>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</si>
  <si>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</si>
  <si>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</si>
  <si>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</si>
  <si>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</si>
  <si>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</si>
  <si>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</si>
  <si>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</si>
  <si>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</si>
  <si>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</si>
  <si>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</si>
  <si>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</si>
  <si>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</si>
  <si>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</si>
  <si>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</si>
  <si>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</si>
  <si>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</si>
  <si>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</si>
  <si>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</si>
  <si>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</si>
  <si>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</si>
  <si>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</si>
  <si>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</si>
  <si>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</si>
  <si>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</si>
  <si>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</si>
  <si>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</si>
  <si>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</si>
  <si>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</si>
  <si>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</si>
  <si>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</si>
  <si>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</si>
  <si>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</si>
  <si>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</si>
  <si>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</si>
  <si>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</si>
  <si>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</si>
  <si>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</si>
  <si>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</si>
  <si>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</si>
  <si>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</si>
  <si>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</si>
  <si>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</si>
  <si>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</si>
  <si>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</si>
  <si>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</si>
  <si>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</si>
  <si>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</si>
  <si>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</si>
  <si>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</si>
  <si>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</si>
  <si>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</si>
  <si>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</si>
  <si>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</si>
  <si>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</si>
  <si>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</si>
  <si>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</si>
  <si>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</si>
  <si>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</si>
  <si>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</si>
  <si>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</si>
  <si>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</si>
  <si>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</si>
  <si>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</si>
  <si>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</si>
  <si>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</si>
  <si>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</si>
  <si>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</si>
  <si>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</si>
  <si>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</si>
  <si>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</si>
  <si>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</si>
  <si>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</si>
  <si>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</si>
  <si>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</si>
  <si>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</si>
  <si>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</si>
  <si>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</si>
  <si>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</si>
  <si>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</si>
  <si>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</si>
  <si>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</si>
  <si>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</si>
  <si>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</si>
  <si>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</si>
  <si>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</si>
  <si>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</si>
  <si>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</si>
  <si>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</si>
  <si>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</si>
  <si>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</si>
  <si>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</si>
  <si>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</si>
  <si>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</si>
  <si>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</si>
  <si>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</si>
  <si>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</si>
  <si>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</si>
  <si>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</si>
  <si>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</si>
  <si>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</si>
  <si>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</si>
  <si>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</si>
  <si>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</si>
  <si>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</si>
  <si>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</si>
  <si>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</si>
  <si>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</si>
  <si>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</si>
  <si>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</si>
  <si>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</si>
  <si>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</si>
  <si>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</si>
  <si>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</si>
  <si>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</si>
  <si>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</si>
  <si>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</si>
  <si>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</si>
  <si>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</si>
  <si>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</si>
  <si>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</si>
  <si>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</si>
  <si>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</si>
  <si>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</si>
  <si>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</si>
  <si>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</si>
  <si>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</si>
  <si>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</si>
  <si>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</si>
  <si>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</si>
  <si>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</si>
  <si>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</si>
  <si>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</si>
  <si>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</si>
  <si>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</si>
  <si>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</si>
  <si>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</si>
  <si>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</si>
  <si>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</si>
  <si>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</si>
  <si>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</si>
  <si>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</si>
  <si>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</si>
  <si>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</si>
  <si>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</si>
  <si>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</si>
  <si>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</si>
  <si>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</si>
  <si>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</si>
  <si>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</si>
  <si>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</si>
  <si>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</si>
  <si>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</si>
  <si>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</si>
  <si>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</si>
  <si>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</si>
  <si>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</si>
  <si>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</si>
  <si>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</si>
  <si>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</si>
  <si>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</si>
  <si>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</si>
  <si>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</si>
  <si>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</si>
  <si>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</si>
  <si>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</si>
  <si>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</si>
  <si>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</si>
  <si>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</si>
  <si>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</si>
  <si>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</si>
  <si>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</si>
  <si>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</si>
  <si>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</si>
  <si>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</si>
  <si>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</si>
  <si>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</si>
  <si>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</si>
  <si>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</si>
  <si>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</si>
  <si>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</si>
  <si>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</si>
  <si>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</si>
  <si>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</si>
  <si>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</si>
  <si>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</si>
  <si>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</si>
  <si>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</si>
  <si>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</si>
  <si>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</si>
  <si>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</si>
  <si>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</si>
  <si>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</si>
  <si>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</si>
  <si>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</si>
  <si>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</si>
  <si>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</si>
  <si>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</si>
  <si>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</si>
  <si>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</si>
  <si>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</si>
  <si>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</si>
  <si>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</si>
  <si>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</si>
  <si>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</si>
  <si>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</si>
  <si>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</si>
  <si>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</si>
  <si>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</si>
  <si>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</si>
  <si>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</si>
  <si>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</si>
  <si>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</si>
  <si>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</si>
  <si>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</si>
  <si>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</si>
  <si>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</si>
  <si>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</si>
  <si>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</si>
  <si>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</si>
  <si>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</si>
  <si>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</si>
  <si>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</si>
  <si>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</si>
  <si>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</si>
  <si>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</si>
  <si>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</si>
  <si>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</si>
  <si>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</si>
  <si>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</si>
  <si>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</si>
  <si>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</si>
  <si>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</si>
  <si>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</si>
  <si>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</si>
  <si>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</si>
  <si>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</si>
  <si>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</si>
  <si>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</si>
  <si>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</si>
  <si>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</si>
  <si>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</si>
  <si>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</si>
  <si>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</si>
  <si>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</si>
  <si>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</si>
  <si>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</si>
  <si>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</si>
  <si>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</si>
  <si>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</si>
  <si>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</si>
  <si>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</si>
  <si>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</si>
  <si>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</si>
  <si>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</si>
  <si>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</si>
  <si>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</si>
  <si>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</si>
  <si>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</si>
  <si>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</si>
  <si>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</si>
  <si>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</si>
  <si>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</si>
  <si>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</si>
  <si>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</si>
  <si>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</si>
  <si>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</si>
  <si>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</si>
  <si>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</si>
  <si>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</si>
  <si>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</si>
  <si>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</si>
  <si>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</si>
  <si>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</si>
  <si>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</si>
  <si>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</si>
  <si>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</si>
  <si>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</si>
  <si>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</si>
  <si>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</si>
  <si>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</si>
  <si>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</si>
  <si>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</si>
  <si>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</si>
  <si>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</si>
  <si>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</si>
  <si>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</si>
  <si>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</si>
  <si>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</si>
  <si>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</si>
  <si>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</si>
  <si>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</si>
  <si>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</si>
  <si>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</si>
  <si>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</si>
  <si>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</si>
  <si>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</si>
  <si>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</si>
  <si>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</si>
  <si>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</si>
  <si>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</si>
  <si>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</si>
  <si>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</si>
  <si>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</si>
  <si>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</si>
  <si>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</si>
  <si>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</si>
  <si>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</si>
  <si>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</si>
  <si>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</si>
  <si>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</si>
  <si>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</si>
  <si>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</si>
  <si>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</si>
  <si>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</si>
  <si>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</si>
  <si>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</si>
  <si>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</si>
  <si>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</si>
  <si>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</si>
  <si>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</si>
  <si>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</si>
  <si>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</si>
  <si>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</si>
  <si>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</si>
  <si>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</si>
  <si>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</si>
  <si>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</si>
  <si>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</si>
  <si>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</si>
  <si>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</si>
  <si>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</si>
  <si>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</si>
  <si>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</si>
  <si>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</si>
  <si>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</si>
  <si>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</si>
  <si>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</si>
  <si>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</si>
  <si>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</si>
  <si>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</si>
  <si>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</si>
  <si>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</si>
  <si>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</si>
  <si>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</si>
  <si>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</si>
  <si>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</si>
  <si>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</si>
  <si>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</si>
  <si>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</si>
  <si>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</si>
  <si>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</si>
  <si>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</si>
  <si>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</si>
  <si>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</si>
  <si>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</si>
  <si>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</si>
  <si>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</si>
  <si>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</si>
  <si>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</si>
  <si>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</si>
  <si>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</si>
  <si>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</si>
  <si>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</si>
  <si>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</si>
  <si>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</si>
  <si>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</si>
  <si>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</si>
  <si>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</si>
  <si>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</si>
  <si>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</si>
  <si>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</si>
  <si>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</si>
  <si>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</si>
  <si>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</si>
  <si>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</si>
  <si>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</si>
  <si>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</si>
  <si>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</si>
  <si>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</si>
  <si>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</si>
  <si>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</si>
  <si>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</si>
  <si>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</si>
  <si>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</si>
  <si>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</si>
  <si>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</si>
  <si>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</si>
  <si>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</si>
  <si>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</si>
  <si>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</si>
  <si>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</si>
  <si>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</si>
  <si>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</si>
  <si>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</si>
  <si>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</si>
  <si>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</si>
  <si>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</si>
  <si>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</si>
  <si>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</si>
  <si>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</si>
  <si>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</si>
  <si>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</si>
  <si>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</si>
  <si>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</si>
  <si>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</si>
  <si>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</si>
  <si>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</si>
  <si>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</si>
  <si>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</si>
  <si>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</si>
  <si>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</si>
  <si>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</si>
  <si>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</si>
  <si>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</si>
  <si>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</si>
  <si>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</si>
  <si>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</si>
  <si>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</si>
  <si>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</si>
  <si>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</si>
  <si>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</si>
  <si>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</si>
  <si>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</si>
  <si>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</si>
  <si>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</si>
  <si>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</si>
  <si>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</si>
  <si>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</si>
  <si>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</si>
  <si>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</si>
  <si>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</si>
  <si>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</si>
  <si>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</si>
  <si>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</si>
  <si>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</si>
  <si>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</si>
  <si>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</si>
  <si>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</si>
  <si>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</si>
  <si>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</si>
  <si>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</si>
  <si>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</si>
  <si>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</si>
  <si>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</si>
  <si>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</si>
  <si>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</si>
  <si>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</si>
  <si>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</si>
  <si>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</si>
  <si>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</si>
  <si>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</si>
  <si>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</si>
  <si>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</si>
  <si>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</si>
  <si>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</si>
  <si>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</si>
  <si>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</si>
  <si>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</si>
  <si>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</si>
  <si>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</si>
  <si>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</si>
  <si>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</si>
  <si>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</si>
  <si>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</si>
  <si>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</si>
  <si>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</si>
  <si>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</si>
  <si>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</si>
  <si>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</si>
  <si>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</si>
  <si>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</si>
  <si>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</si>
  <si>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</si>
  <si>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</si>
  <si>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</si>
  <si>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</si>
  <si>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</si>
  <si>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</si>
  <si>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</si>
  <si>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</si>
  <si>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</si>
  <si>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</si>
  <si>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</si>
  <si>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</si>
  <si>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</si>
  <si>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</si>
  <si>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</si>
  <si>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</si>
  <si>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</si>
  <si>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</si>
  <si>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</si>
  <si>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</si>
  <si>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</si>
  <si>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</si>
  <si>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</si>
  <si>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</si>
  <si>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</si>
  <si>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</si>
  <si>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</si>
  <si>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</si>
  <si>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</si>
  <si>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</si>
  <si>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</si>
  <si>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</si>
  <si>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</si>
  <si>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</si>
  <si>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</si>
  <si>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</si>
  <si>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</si>
  <si>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</si>
  <si>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</si>
  <si>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</si>
  <si>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</si>
  <si>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</si>
  <si>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</si>
  <si>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</si>
  <si>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</si>
  <si>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</si>
  <si>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</si>
  <si>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</si>
  <si>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</si>
  <si>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</si>
  <si>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</si>
  <si>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</si>
  <si>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</si>
  <si>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</si>
  <si>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</si>
  <si>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</si>
  <si>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</si>
  <si>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</si>
  <si>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</si>
  <si>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</si>
  <si>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</si>
  <si>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</si>
  <si>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</si>
  <si>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</si>
  <si>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</si>
  <si>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</si>
  <si>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</si>
  <si>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</si>
  <si>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</si>
  <si>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</si>
  <si>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</si>
  <si>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</si>
  <si>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</si>
  <si>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</si>
  <si>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</si>
  <si>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</si>
  <si>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</si>
  <si>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</si>
  <si>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</si>
  <si>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</si>
  <si>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</si>
  <si>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</si>
  <si>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</si>
  <si>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</si>
  <si>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</si>
  <si>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</si>
  <si>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</si>
  <si>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</si>
  <si>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</si>
  <si>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</si>
  <si>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</si>
  <si>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</si>
  <si>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</si>
  <si>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</si>
  <si>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</si>
  <si>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</si>
  <si>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</si>
  <si>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</si>
  <si>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</si>
  <si>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</si>
  <si>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</si>
  <si>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</si>
  <si>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</si>
  <si>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</si>
  <si>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</si>
  <si>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</si>
  <si>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</si>
  <si>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</si>
  <si>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</si>
  <si>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</si>
  <si>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</si>
  <si>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</si>
  <si>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</si>
  <si>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</si>
  <si>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</si>
  <si>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</si>
  <si>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</si>
  <si>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</si>
  <si>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</si>
  <si>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</si>
  <si>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</si>
  <si>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</si>
  <si>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</si>
  <si>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</si>
  <si>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</si>
  <si>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</si>
  <si>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</si>
  <si>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</si>
  <si>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</si>
  <si>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</si>
  <si>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</si>
  <si>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</si>
  <si>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</si>
  <si>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</si>
  <si>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</si>
  <si>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</si>
  <si>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</si>
  <si>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</si>
  <si>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</si>
  <si>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</si>
  <si>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</si>
  <si>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</si>
  <si>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</si>
  <si>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</si>
  <si>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</si>
  <si>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</si>
  <si>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</si>
  <si>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</si>
  <si>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</si>
  <si>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</si>
  <si>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</si>
  <si>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</si>
  <si>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</si>
  <si>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</si>
  <si>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</si>
  <si>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</si>
  <si>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</si>
  <si>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</si>
  <si>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</si>
  <si>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</si>
  <si>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</si>
  <si>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</si>
  <si>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</si>
  <si>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</si>
  <si>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</si>
  <si>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</si>
  <si>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</si>
  <si>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</si>
  <si>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</si>
  <si>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</si>
  <si>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</si>
  <si>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</si>
  <si>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</si>
  <si>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</si>
  <si>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</si>
  <si>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</si>
  <si>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</si>
  <si>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</si>
  <si>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</si>
  <si>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</si>
  <si>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</si>
  <si>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</si>
  <si>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</si>
  <si>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</si>
  <si>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</si>
  <si>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</si>
  <si>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</si>
  <si>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</si>
  <si>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</si>
  <si>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</si>
  <si>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</si>
  <si>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</si>
  <si>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</si>
  <si>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</si>
  <si>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</si>
  <si>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</si>
  <si>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</si>
  <si>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</si>
  <si>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</si>
  <si>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</si>
  <si>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</si>
  <si>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</si>
  <si>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</si>
  <si>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</si>
  <si>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</si>
  <si>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</si>
  <si>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</si>
  <si>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</si>
  <si>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</si>
  <si>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</si>
  <si>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</si>
  <si>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</si>
  <si>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</si>
  <si>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</si>
  <si>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</si>
  <si>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</si>
  <si>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</si>
  <si>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</si>
  <si>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</si>
  <si>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</si>
  <si>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</si>
  <si>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</si>
  <si>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</si>
  <si>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</si>
  <si>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</si>
  <si>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</si>
  <si>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</si>
  <si>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</si>
  <si>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</si>
  <si>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</si>
  <si>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</si>
  <si>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</si>
  <si>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</si>
  <si>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</si>
  <si>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</si>
  <si>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</si>
  <si>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</si>
  <si>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</si>
  <si>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</si>
  <si>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</si>
  <si>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</si>
  <si>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</si>
  <si>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</si>
  <si>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</si>
  <si>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</si>
  <si>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</si>
  <si>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</si>
  <si>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</si>
  <si>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</si>
  <si>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</si>
  <si>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</si>
  <si>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</si>
  <si>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</si>
  <si>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</si>
  <si>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</si>
  <si>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</si>
  <si>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</si>
  <si>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</si>
  <si>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</si>
  <si>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</si>
  <si>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</si>
  <si>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</si>
  <si>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</si>
  <si>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</si>
  <si>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</si>
  <si>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</si>
  <si>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</si>
  <si>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</si>
  <si>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</si>
  <si>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</si>
  <si>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</si>
  <si>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</si>
  <si>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</si>
  <si>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</si>
  <si>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</si>
  <si>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</si>
  <si>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</si>
  <si>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</si>
  <si>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</si>
  <si>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</si>
  <si>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</si>
  <si>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</si>
  <si>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</si>
  <si>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</si>
  <si>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</si>
  <si>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</si>
  <si>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</si>
  <si>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</si>
  <si>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</si>
  <si>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</si>
  <si>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</si>
  <si>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</si>
  <si>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</si>
  <si>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</si>
  <si>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</si>
  <si>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</si>
  <si>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</si>
  <si>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</si>
  <si>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</si>
  <si>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</si>
  <si>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</si>
  <si>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</si>
  <si>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</si>
  <si>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</si>
  <si>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</si>
  <si>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</si>
  <si>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</si>
  <si>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</si>
  <si>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</si>
  <si>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</si>
  <si>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</si>
  <si>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</si>
  <si>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</si>
  <si>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</si>
  <si>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</si>
  <si>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</si>
  <si>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</si>
  <si>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</si>
  <si>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</si>
  <si>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</si>
  <si>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</si>
  <si>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</si>
  <si>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</si>
  <si>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</si>
  <si>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</si>
  <si>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</si>
  <si>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</si>
  <si>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</si>
  <si>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</si>
  <si>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</si>
  <si>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</si>
  <si>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</si>
  <si>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</si>
  <si>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</si>
  <si>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</si>
  <si>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</si>
  <si>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</si>
  <si>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</si>
  <si>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</si>
  <si>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</si>
  <si>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</si>
  <si>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</si>
  <si>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</si>
  <si>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</si>
  <si>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</si>
  <si>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</si>
  <si>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</si>
  <si>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</si>
  <si>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</si>
  <si>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</si>
  <si>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</si>
  <si>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</si>
  <si>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</si>
  <si>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</si>
  <si>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</si>
  <si>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</si>
  <si>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</si>
  <si>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</si>
  <si>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</si>
  <si>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</si>
  <si>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</si>
  <si>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</si>
  <si>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</si>
  <si>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</si>
  <si>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</si>
  <si>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</si>
  <si>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</si>
  <si>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</si>
  <si>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</si>
  <si>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</si>
  <si>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</si>
  <si>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</si>
  <si>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</si>
  <si>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</si>
  <si>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</si>
  <si>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</si>
  <si>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</si>
  <si>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</si>
  <si>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</si>
  <si>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</si>
  <si>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</si>
  <si>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</si>
  <si>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</si>
  <si>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</si>
  <si>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</si>
  <si>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</si>
  <si>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</si>
  <si>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</si>
  <si>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</si>
  <si>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</si>
  <si>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</si>
  <si>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</si>
  <si>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</si>
  <si>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</si>
  <si>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</si>
  <si>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</si>
  <si>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</si>
  <si>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</si>
  <si>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</si>
  <si>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</si>
  <si>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</si>
  <si>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</si>
  <si>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</si>
  <si>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</si>
  <si>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</si>
  <si>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</si>
  <si>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</si>
  <si>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</si>
  <si>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</si>
  <si>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</si>
  <si>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</si>
  <si>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</si>
  <si>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</si>
  <si>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</si>
  <si>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</si>
  <si>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</si>
  <si>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</si>
  <si>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</si>
  <si>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</si>
  <si>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</si>
  <si>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</si>
  <si>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</si>
  <si>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</si>
  <si>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</si>
  <si>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</si>
  <si>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</si>
  <si>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</si>
  <si>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</si>
  <si>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</si>
  <si>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</si>
  <si>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</si>
  <si>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</si>
  <si>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</si>
  <si>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</si>
  <si>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</si>
  <si>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</si>
  <si>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</si>
  <si>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</si>
  <si>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</si>
  <si>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</si>
  <si>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</si>
  <si>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</si>
  <si>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</si>
  <si>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</si>
  <si>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</si>
  <si>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</si>
  <si>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</si>
  <si>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</si>
  <si>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</si>
  <si>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</si>
  <si>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</si>
  <si>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</si>
  <si>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</si>
  <si>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</si>
  <si>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</si>
  <si>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</si>
  <si>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</si>
  <si>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</si>
  <si>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</si>
  <si>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</si>
  <si>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</si>
  <si>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</si>
  <si>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</si>
  <si>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</si>
  <si>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</si>
  <si>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</si>
  <si>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</si>
  <si>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</si>
  <si>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</si>
  <si>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</si>
  <si>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</si>
  <si>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</si>
  <si>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</si>
  <si>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</si>
  <si>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</si>
  <si>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</si>
  <si>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</si>
  <si>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</si>
  <si>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</si>
  <si>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</si>
  <si>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</si>
  <si>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</si>
  <si>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</si>
  <si>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</si>
  <si>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</si>
  <si>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</si>
  <si>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</si>
  <si>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</si>
  <si>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</si>
  <si>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</si>
  <si>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</si>
  <si>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</si>
  <si>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</si>
  <si>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</si>
  <si>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</si>
  <si>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</si>
  <si>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</si>
  <si>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</si>
  <si>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</si>
  <si>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</si>
  <si>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</si>
  <si>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</si>
  <si>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</si>
  <si>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</si>
  <si>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</si>
  <si>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</si>
  <si>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</si>
  <si>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</si>
  <si>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</si>
  <si>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</si>
  <si>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</si>
  <si>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</si>
  <si>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</si>
  <si>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</si>
  <si>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</si>
  <si>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</si>
  <si>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</si>
  <si>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</si>
  <si>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</si>
  <si>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</si>
  <si>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</si>
  <si>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</si>
  <si>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</si>
  <si>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</si>
  <si>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</si>
  <si>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</si>
  <si>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</si>
  <si>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</si>
  <si>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</si>
  <si>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</si>
  <si>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</si>
  <si>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</si>
  <si>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</si>
  <si>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</si>
  <si>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</si>
  <si>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</si>
  <si>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</si>
  <si>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</si>
  <si>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</si>
  <si>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</si>
  <si>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</si>
  <si>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</si>
  <si>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</si>
  <si>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</si>
  <si>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</si>
  <si>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</si>
  <si>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</si>
  <si>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</si>
  <si>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</si>
  <si>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</si>
  <si>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</si>
  <si>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</si>
  <si>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</si>
  <si>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</si>
  <si>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</si>
  <si>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</si>
  <si>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</si>
  <si>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</si>
  <si>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</si>
  <si>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</si>
  <si>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</si>
  <si>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</si>
  <si>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</si>
  <si>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</si>
  <si>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</si>
  <si>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</si>
  <si>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</si>
  <si>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</si>
  <si>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</si>
  <si>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</si>
  <si>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</si>
  <si>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</si>
  <si>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</si>
  <si>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</si>
  <si>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</si>
  <si>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</si>
  <si>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</si>
  <si>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</si>
  <si>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</si>
  <si>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</si>
  <si>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</si>
  <si>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</si>
  <si>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</si>
  <si>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</si>
  <si>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</si>
  <si>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</si>
  <si>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</si>
  <si>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</si>
  <si>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</si>
  <si>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</si>
  <si>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</si>
  <si>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</si>
  <si>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</si>
  <si>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</si>
  <si>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</si>
  <si>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</si>
  <si>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</si>
  <si>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</si>
  <si>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</si>
  <si>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</si>
  <si>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</si>
  <si>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</si>
  <si>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</si>
  <si>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</si>
  <si>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</si>
  <si>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</si>
  <si>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</si>
  <si>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</si>
  <si>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</si>
  <si>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</si>
  <si>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</si>
  <si>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</si>
  <si>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</si>
  <si>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</si>
  <si>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</si>
  <si>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</si>
  <si>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</si>
  <si>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</si>
  <si>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</si>
  <si>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</si>
  <si>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</si>
  <si>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</si>
  <si>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</si>
  <si>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</si>
  <si>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</si>
  <si>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</si>
  <si>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</si>
  <si>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</si>
  <si>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</si>
  <si>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</si>
  <si>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</si>
  <si>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</si>
  <si>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</si>
  <si>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</si>
  <si>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</si>
  <si>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</si>
  <si>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</si>
  <si>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</si>
  <si>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</si>
  <si>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</si>
  <si>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</si>
  <si>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</si>
  <si>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</si>
  <si>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</si>
  <si>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</si>
  <si>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</si>
  <si>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</si>
  <si>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</si>
  <si>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</si>
  <si>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</si>
  <si>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</si>
  <si>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</si>
  <si>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</si>
  <si>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</si>
  <si>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</si>
  <si>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</si>
  <si>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</si>
  <si>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</si>
  <si>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</si>
  <si>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</si>
  <si>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</si>
  <si>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</si>
  <si>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</si>
  <si>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</si>
  <si>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</si>
  <si>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</si>
  <si>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</si>
  <si>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</si>
  <si>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</si>
  <si>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</si>
  <si>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</si>
  <si>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</si>
  <si>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</si>
  <si>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</si>
  <si>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</si>
  <si>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</si>
  <si>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</si>
  <si>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</si>
  <si>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</si>
  <si>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</si>
  <si>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</si>
  <si>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</si>
  <si>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</si>
  <si>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</si>
  <si>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</si>
  <si>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</si>
  <si>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</si>
  <si>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</si>
  <si>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</si>
  <si>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</si>
  <si>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</si>
  <si>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</si>
  <si>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</si>
  <si>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</si>
  <si>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</si>
  <si>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</si>
  <si>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</si>
  <si>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</si>
  <si>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</si>
  <si>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</si>
  <si>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</si>
  <si>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</si>
  <si>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</si>
  <si>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</si>
  <si>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</si>
  <si>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</si>
  <si>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</si>
  <si>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</si>
  <si>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</si>
  <si>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</si>
  <si>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</si>
  <si>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</si>
  <si>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</si>
  <si>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</si>
  <si>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</si>
  <si>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</si>
  <si>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</si>
  <si>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</si>
  <si>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</si>
  <si>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</si>
  <si>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</si>
  <si>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</si>
  <si>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</si>
  <si>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</si>
  <si>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</si>
  <si>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</si>
  <si>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</si>
  <si>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</si>
  <si>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</si>
  <si>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</si>
  <si>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</si>
  <si>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</si>
  <si>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</si>
  <si>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</si>
  <si>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</si>
  <si>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</si>
  <si>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</si>
  <si>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</si>
  <si>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</si>
  <si>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</si>
  <si>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</si>
  <si>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</si>
  <si>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</si>
  <si>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</si>
  <si>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</si>
  <si>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</si>
  <si>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</si>
  <si>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</si>
  <si>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</si>
  <si>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</si>
  <si>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</si>
  <si>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</si>
  <si>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</si>
  <si>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</si>
  <si>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</si>
  <si>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</si>
  <si>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</si>
  <si>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</si>
  <si>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</si>
  <si>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</si>
  <si>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</si>
  <si>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</si>
  <si>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</si>
  <si>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</si>
  <si>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</si>
  <si>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</si>
  <si>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</si>
  <si>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</si>
  <si>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</si>
  <si>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</si>
  <si>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</si>
  <si>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</si>
  <si>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</si>
  <si>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</si>
  <si>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</si>
  <si>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</si>
  <si>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</si>
  <si>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</si>
  <si>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</si>
  <si>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</si>
  <si>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</si>
  <si>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</si>
  <si>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</si>
  <si>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</si>
  <si>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</si>
  <si>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</si>
  <si>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</si>
  <si>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</si>
  <si>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</si>
  <si>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</si>
  <si>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</si>
  <si>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</si>
  <si>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</si>
  <si>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</si>
  <si>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</si>
  <si>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</si>
  <si>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</si>
  <si>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</si>
  <si>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</si>
  <si>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</si>
  <si>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</si>
  <si>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</si>
  <si>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</si>
  <si>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</si>
  <si>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</si>
  <si>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</si>
  <si>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</si>
  <si>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</si>
  <si>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</si>
  <si>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</si>
  <si>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</si>
  <si>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</si>
  <si>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</si>
  <si>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</si>
  <si>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</si>
  <si>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</si>
  <si>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</si>
  <si>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</si>
  <si>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</si>
  <si>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</si>
  <si>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</si>
  <si>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</si>
  <si>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</si>
  <si>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</si>
  <si>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</si>
  <si>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</si>
  <si>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</si>
  <si>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</si>
  <si>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</si>
  <si>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</si>
  <si>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</si>
  <si>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</si>
  <si>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</si>
  <si>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</si>
  <si>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</si>
  <si>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</si>
  <si>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</si>
  <si>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</si>
  <si>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</si>
  <si>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</si>
  <si>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</si>
  <si>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</si>
  <si>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</si>
  <si>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</si>
  <si>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</si>
  <si>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</si>
  <si>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</si>
  <si>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</si>
  <si>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</si>
  <si>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</si>
  <si>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</si>
  <si>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</si>
  <si>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</si>
  <si>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</si>
  <si>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</si>
  <si>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</si>
  <si>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</si>
  <si>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</si>
  <si>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</si>
  <si>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</si>
  <si>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</si>
  <si>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</si>
  <si>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</si>
  <si>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</si>
  <si>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</si>
  <si>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</si>
  <si>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</si>
  <si>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</si>
  <si>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</si>
  <si>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</si>
  <si>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</si>
  <si>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</si>
  <si>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</si>
  <si>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</si>
  <si>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</si>
  <si>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</si>
  <si>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</si>
  <si>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</si>
  <si>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</si>
  <si>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</si>
  <si>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</si>
  <si>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</si>
  <si>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</si>
  <si>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</si>
  <si>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</si>
  <si>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</si>
  <si>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</si>
  <si>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</si>
  <si>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</si>
  <si>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</si>
  <si>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</si>
  <si>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</si>
  <si>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</si>
  <si>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</si>
  <si>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</si>
  <si>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</si>
  <si>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</si>
  <si>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</si>
  <si>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</si>
  <si>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</si>
  <si>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</si>
  <si>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</si>
  <si>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</si>
  <si>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</si>
  <si>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</si>
  <si>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</si>
  <si>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</si>
  <si>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</si>
  <si>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</si>
  <si>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</si>
  <si>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</si>
  <si>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</si>
  <si>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</si>
  <si>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</si>
  <si>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</si>
  <si>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</si>
  <si>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</si>
  <si>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</si>
  <si>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</si>
  <si>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</si>
  <si>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</si>
  <si>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</si>
  <si>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</si>
  <si>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</si>
  <si>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</si>
  <si>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</si>
  <si>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</si>
  <si>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</si>
  <si>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</si>
  <si>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</si>
  <si>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</si>
  <si>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</si>
  <si>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</si>
  <si>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</si>
  <si>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</si>
  <si>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</si>
  <si>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</si>
  <si>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</si>
  <si>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</si>
  <si>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</si>
  <si>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</si>
  <si>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</si>
  <si>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</si>
  <si>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</si>
  <si>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</si>
  <si>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</si>
  <si>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</si>
  <si>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</si>
  <si>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</si>
  <si>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</si>
  <si>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</si>
  <si>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</si>
  <si>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</si>
  <si>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</si>
  <si>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</si>
  <si>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</si>
  <si>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</si>
  <si>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</si>
  <si>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</si>
  <si>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</si>
  <si>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</si>
  <si>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</si>
  <si>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</si>
  <si>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</si>
  <si>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</si>
  <si>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</si>
  <si>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</si>
  <si>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</si>
  <si>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</si>
  <si>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</si>
  <si>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</si>
  <si>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</si>
  <si>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</si>
  <si>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</si>
  <si>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</si>
  <si>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</si>
  <si>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</si>
  <si>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</si>
  <si>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</si>
  <si>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</si>
  <si>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</si>
  <si>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</si>
  <si>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</si>
  <si>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</si>
  <si>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</si>
  <si>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</si>
  <si>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</si>
  <si>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</si>
  <si>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</si>
  <si>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</si>
  <si>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</si>
  <si>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</si>
  <si>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</si>
  <si>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</si>
  <si>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</si>
  <si>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</si>
  <si>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</si>
  <si>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</si>
  <si>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</si>
  <si>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</si>
  <si>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</si>
  <si>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</si>
  <si>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</si>
  <si>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</si>
  <si>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</si>
  <si>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</si>
  <si>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</si>
  <si>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</si>
  <si>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</si>
  <si>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</si>
  <si>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</si>
  <si>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</si>
  <si>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</si>
  <si>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</si>
  <si>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</si>
  <si>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</si>
  <si>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</si>
  <si>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</si>
  <si>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</si>
  <si>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</si>
  <si>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</si>
  <si>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</si>
  <si>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</si>
  <si>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</si>
  <si>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</si>
  <si>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</si>
  <si>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</si>
  <si>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</si>
  <si>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</si>
  <si>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</si>
  <si>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</si>
  <si>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</si>
  <si>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</si>
  <si>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</si>
  <si>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</si>
  <si>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</si>
  <si>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</si>
  <si>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</si>
  <si>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</si>
  <si>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</si>
  <si>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</si>
  <si>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</si>
  <si>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</si>
  <si>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</si>
  <si>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</si>
  <si>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</si>
  <si>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</si>
  <si>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</si>
  <si>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</si>
  <si>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</si>
  <si>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</si>
  <si>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</si>
  <si>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</si>
  <si>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</si>
  <si>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</si>
  <si>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</si>
  <si>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</si>
  <si>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</si>
  <si>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</si>
  <si>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</si>
  <si>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</si>
  <si>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</si>
  <si>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</si>
  <si>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</si>
  <si>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</si>
  <si>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</si>
  <si>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</si>
  <si>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</si>
  <si>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</si>
  <si>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</si>
  <si>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</si>
  <si>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</si>
  <si>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</si>
  <si>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</si>
  <si>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</si>
  <si>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</si>
  <si>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</si>
  <si>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</si>
  <si>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</si>
  <si>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</si>
  <si>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</si>
  <si>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</si>
  <si>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</si>
  <si>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</si>
  <si>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</si>
  <si>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</si>
  <si>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</si>
  <si>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</si>
  <si>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</si>
  <si>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</si>
  <si>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</si>
  <si>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</si>
  <si>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</si>
  <si>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</si>
  <si>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</si>
  <si>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</si>
  <si>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</si>
  <si>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</si>
  <si>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</si>
  <si>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</si>
  <si>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</si>
  <si>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</si>
  <si>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</si>
  <si>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</si>
  <si>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</si>
  <si>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</si>
  <si>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</si>
  <si>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</si>
  <si>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</si>
  <si>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</si>
  <si>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</si>
  <si>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</si>
  <si>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</si>
  <si>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</si>
  <si>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</si>
  <si>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</si>
  <si>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</si>
  <si>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</si>
  <si>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</si>
  <si>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</si>
  <si>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</si>
  <si>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</si>
  <si>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</si>
  <si>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</si>
  <si>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</si>
  <si>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</si>
  <si>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</si>
  <si>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</si>
  <si>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</si>
  <si>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</si>
  <si>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</si>
  <si>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</si>
  <si>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</si>
  <si>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</si>
  <si>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</si>
  <si>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</si>
  <si>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</si>
  <si>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</si>
  <si>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</si>
  <si>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</si>
  <si>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</si>
  <si>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</si>
  <si>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</si>
  <si>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</si>
  <si>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</si>
  <si>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</si>
  <si>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</si>
  <si>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</si>
  <si>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</si>
  <si>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</si>
  <si>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</si>
  <si>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</si>
  <si>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</si>
  <si>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</si>
  <si>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</si>
  <si>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</si>
  <si>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</si>
  <si>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</si>
  <si>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</si>
  <si>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</si>
  <si>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</si>
  <si>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</si>
  <si>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</si>
  <si>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</si>
  <si>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</si>
  <si>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</si>
  <si>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</si>
  <si>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</si>
  <si>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</si>
  <si>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</si>
  <si>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</si>
  <si>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</si>
  <si>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</si>
  <si>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</si>
  <si>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</si>
  <si>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</si>
  <si>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</si>
  <si>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</si>
  <si>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</si>
  <si>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</si>
  <si>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</si>
  <si>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</si>
  <si>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</si>
  <si>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</si>
  <si>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</si>
  <si>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</si>
  <si>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</si>
  <si>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</si>
  <si>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</si>
  <si>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</si>
  <si>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</si>
  <si>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</si>
  <si>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</si>
  <si>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</si>
  <si>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</si>
  <si>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</si>
  <si>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</si>
  <si>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</si>
  <si>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</si>
  <si>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</si>
  <si>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</si>
  <si>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</si>
  <si>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</si>
  <si>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</si>
  <si>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</si>
  <si>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</si>
  <si>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</si>
  <si>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</si>
  <si>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</si>
  <si>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</si>
  <si>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</si>
  <si>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</si>
  <si>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</si>
  <si>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</si>
  <si>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</si>
  <si>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</si>
  <si>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</si>
  <si>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</si>
  <si>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</si>
  <si>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</si>
  <si>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</si>
  <si>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</si>
  <si>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</si>
  <si>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</si>
  <si>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</si>
  <si>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</si>
  <si>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</si>
  <si>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</si>
  <si>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</si>
  <si>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</si>
  <si>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</si>
  <si>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</si>
  <si>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</si>
  <si>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</si>
  <si>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</si>
  <si>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</si>
  <si>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</si>
  <si>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</si>
  <si>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</si>
  <si>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</si>
  <si>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</si>
  <si>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</si>
  <si>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</si>
  <si>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</si>
  <si>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</si>
  <si>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</si>
  <si>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</si>
  <si>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</si>
  <si>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</si>
  <si>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</si>
  <si>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</si>
  <si>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</si>
  <si>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</si>
  <si>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</si>
  <si>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</si>
  <si>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</si>
  <si>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</si>
  <si>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</si>
  <si>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</si>
  <si>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</si>
  <si>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</si>
  <si>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</si>
  <si>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</si>
  <si>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</si>
  <si>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</si>
  <si>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</si>
  <si>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</si>
  <si>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</si>
  <si>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</si>
  <si>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</si>
  <si>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</si>
  <si>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</si>
  <si>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</si>
  <si>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</si>
  <si>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</si>
  <si>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</si>
  <si>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</si>
  <si>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</si>
  <si>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</si>
  <si>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</si>
  <si>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</si>
  <si>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</si>
  <si>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</si>
  <si>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</si>
  <si>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</si>
  <si>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</si>
  <si>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</si>
  <si>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</si>
  <si>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</si>
  <si>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</si>
  <si>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</si>
  <si>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</si>
  <si>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</si>
  <si>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</si>
  <si>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</si>
  <si>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</si>
  <si>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</si>
  <si>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</si>
  <si>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</si>
  <si>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</si>
  <si>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</si>
  <si>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</si>
  <si>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</si>
  <si>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</si>
  <si>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</si>
  <si>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</si>
  <si>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</si>
  <si>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</si>
  <si>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</si>
  <si>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</si>
  <si>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</si>
  <si>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</si>
  <si>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</si>
  <si>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</si>
  <si>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</si>
  <si>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</si>
  <si>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</si>
  <si>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</si>
  <si>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</si>
  <si>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</si>
  <si>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</si>
  <si>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</si>
  <si>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</si>
  <si>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</si>
  <si>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</si>
  <si>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</si>
  <si>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</si>
  <si>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</si>
  <si>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</si>
  <si>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</si>
  <si>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</si>
  <si>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</si>
  <si>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</si>
  <si>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</si>
  <si>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</si>
  <si>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</si>
  <si>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</si>
  <si>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</si>
  <si>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</si>
  <si>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</si>
  <si>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</si>
  <si>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</si>
  <si>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</si>
  <si>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</si>
  <si>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</si>
  <si>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</si>
  <si>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</si>
  <si>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</si>
  <si>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</si>
  <si>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</si>
  <si>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</si>
  <si>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</si>
  <si>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</si>
  <si>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</si>
  <si>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</si>
  <si>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</si>
  <si>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</si>
  <si>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</si>
  <si>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</si>
  <si>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</si>
  <si>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</si>
  <si>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</si>
  <si>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</si>
  <si>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</si>
  <si>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</si>
  <si>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</si>
  <si>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</si>
  <si>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</si>
  <si>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</si>
  <si>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</si>
  <si>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</si>
  <si>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</si>
  <si>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</si>
  <si>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</si>
  <si>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</si>
  <si>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</si>
  <si>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</si>
  <si>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</si>
  <si>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</si>
  <si>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</si>
  <si>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</si>
  <si>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</si>
  <si>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</si>
  <si>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</si>
  <si>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</si>
  <si>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</si>
  <si>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</si>
  <si>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</si>
  <si>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</si>
  <si>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</si>
  <si>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</si>
  <si>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</si>
  <si>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</si>
  <si>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</si>
  <si>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</si>
  <si>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</si>
  <si>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</si>
  <si>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</si>
  <si>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</si>
  <si>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</si>
  <si>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</si>
  <si>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</si>
  <si>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</si>
  <si>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</si>
  <si>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</si>
  <si>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</si>
  <si>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</si>
  <si>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</si>
  <si>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</si>
  <si>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</si>
  <si>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</si>
  <si>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</si>
  <si>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</si>
  <si>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</si>
  <si>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</si>
  <si>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</si>
  <si>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</si>
  <si>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</si>
  <si>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</si>
  <si>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</si>
  <si>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</si>
  <si>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</si>
  <si>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</si>
  <si>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</si>
  <si>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</si>
  <si>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</si>
  <si>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</si>
  <si>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</si>
  <si>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</si>
  <si>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</si>
  <si>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</si>
  <si>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</si>
  <si>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</si>
  <si>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</si>
  <si>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</si>
  <si>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</si>
  <si>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</si>
  <si>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</si>
  <si>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</si>
  <si>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</si>
  <si>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</si>
  <si>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</si>
  <si>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</si>
  <si>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</si>
  <si>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</si>
  <si>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</si>
  <si>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</si>
  <si>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</si>
  <si>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</si>
  <si>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</si>
  <si>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</si>
  <si>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</si>
  <si>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</si>
  <si>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</si>
  <si>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</si>
  <si>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</si>
  <si>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</si>
  <si>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</si>
  <si>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</si>
  <si>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</si>
  <si>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</si>
  <si>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</si>
  <si>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</si>
  <si>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</si>
  <si>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</si>
  <si>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</si>
  <si>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</si>
  <si>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</si>
  <si>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</si>
  <si>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</si>
  <si>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</si>
  <si>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</si>
  <si>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</si>
  <si>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</si>
  <si>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</si>
  <si>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</si>
  <si>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</si>
  <si>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</si>
  <si>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</si>
  <si>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</si>
  <si>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</si>
  <si>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</si>
  <si>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</si>
  <si>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</si>
  <si>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</si>
  <si>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</si>
  <si>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</si>
  <si>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</si>
  <si>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</si>
  <si>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</si>
  <si>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</si>
  <si>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</si>
  <si>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</si>
  <si>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</si>
  <si>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</si>
  <si>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</si>
  <si>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</si>
  <si>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</si>
  <si>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</si>
  <si>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</si>
  <si>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</si>
  <si>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</si>
  <si>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</si>
  <si>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</si>
  <si>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</si>
  <si>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</si>
  <si>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</si>
  <si>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</si>
  <si>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</si>
  <si>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</si>
  <si>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</si>
  <si>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</si>
  <si>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</si>
  <si>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</si>
  <si>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</si>
  <si>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</si>
  <si>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</si>
  <si>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</si>
  <si>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</si>
  <si>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</si>
  <si>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</si>
  <si>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</si>
  <si>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</si>
  <si>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</si>
  <si>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</si>
  <si>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</si>
  <si>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</si>
  <si>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</si>
  <si>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</si>
  <si>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</si>
  <si>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</si>
  <si>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</si>
  <si>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</si>
  <si>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</si>
  <si>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</si>
  <si>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</si>
  <si>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</si>
  <si>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</si>
  <si>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</si>
  <si>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</si>
  <si>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</si>
  <si>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</si>
  <si>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</si>
  <si>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</si>
  <si>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</si>
  <si>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</si>
  <si>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</si>
  <si>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</si>
  <si>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</si>
  <si>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</si>
  <si>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</si>
  <si>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</si>
  <si>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</si>
  <si>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</si>
  <si>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</si>
  <si>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</si>
  <si>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</si>
  <si>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</si>
  <si>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</si>
  <si>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</si>
  <si>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</si>
  <si>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</si>
  <si>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</si>
  <si>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</si>
  <si>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</si>
  <si>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</si>
  <si>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</si>
  <si>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</si>
  <si>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</si>
  <si>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</si>
  <si>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</si>
  <si>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</si>
  <si>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</si>
  <si>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</si>
  <si>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</si>
  <si>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</si>
  <si>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</si>
  <si>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</si>
  <si>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</si>
  <si>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</si>
  <si>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</si>
  <si>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</si>
  <si>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</si>
  <si>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</si>
  <si>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</si>
  <si>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</si>
  <si>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</si>
  <si>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</si>
  <si>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</si>
  <si>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</si>
  <si>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</si>
  <si>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</si>
  <si>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</si>
  <si>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</si>
  <si>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</si>
  <si>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</si>
  <si>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</si>
  <si>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</si>
  <si>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</si>
  <si>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</si>
  <si>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</si>
  <si>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</si>
  <si>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</si>
  <si>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</si>
  <si>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</si>
  <si>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</si>
  <si>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</si>
  <si>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</si>
  <si>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</si>
  <si>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</si>
  <si>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</si>
  <si>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</si>
  <si>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</si>
  <si>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</si>
  <si>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</si>
  <si>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</si>
  <si>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</si>
  <si>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</si>
  <si>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</si>
  <si>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</si>
  <si>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</si>
  <si>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</si>
  <si>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</si>
  <si>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</si>
  <si>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</si>
  <si>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</si>
  <si>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</si>
  <si>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</si>
  <si>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</si>
  <si>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</si>
  <si>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</si>
  <si>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</si>
  <si>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</si>
  <si>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</si>
  <si>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</si>
  <si>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</si>
  <si>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</si>
  <si>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</si>
  <si>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</si>
  <si>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</si>
  <si>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</si>
  <si>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</si>
  <si>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</si>
  <si>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</si>
  <si>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</si>
  <si>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</si>
  <si>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</si>
  <si>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</si>
  <si>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</si>
  <si>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</si>
  <si>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</si>
  <si>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</si>
  <si>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</si>
  <si>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</si>
  <si>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</si>
  <si>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</si>
  <si>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</si>
  <si>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</si>
  <si>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</si>
  <si>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</si>
  <si>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</si>
  <si>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</si>
  <si>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</si>
  <si>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</si>
  <si>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</si>
  <si>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</si>
  <si>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</si>
  <si>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</si>
  <si>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</si>
  <si>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</si>
  <si>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</si>
  <si>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</si>
  <si>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</si>
  <si>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</si>
  <si>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</si>
  <si>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</si>
  <si>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</si>
  <si>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</si>
  <si>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</si>
  <si>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</si>
  <si>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</si>
  <si>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</si>
  <si>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</si>
  <si>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</si>
  <si>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</si>
  <si>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</si>
  <si>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</si>
  <si>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</si>
  <si>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</si>
  <si>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</si>
  <si>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</si>
  <si>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</si>
  <si>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</si>
  <si>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</si>
  <si>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</si>
  <si>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</si>
  <si>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</si>
  <si>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</si>
  <si>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</si>
  <si>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</si>
  <si>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</si>
  <si>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</si>
  <si>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</si>
  <si>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</si>
  <si>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</si>
  <si>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</si>
  <si>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</si>
  <si>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</si>
  <si>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</si>
  <si>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</si>
  <si>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</si>
  <si>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</si>
  <si>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</si>
  <si>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</si>
  <si>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</si>
  <si>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</si>
  <si>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</si>
  <si>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</si>
  <si>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</si>
  <si>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</si>
  <si>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</si>
  <si>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</si>
  <si>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</si>
  <si>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</si>
  <si>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</si>
  <si>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</si>
  <si>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</si>
  <si>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</si>
  <si>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</si>
  <si>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</si>
  <si>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</si>
  <si>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</si>
  <si>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</si>
  <si>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</si>
  <si>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</si>
  <si>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</si>
  <si>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</si>
  <si>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</si>
  <si>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</si>
  <si>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</si>
  <si>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</si>
  <si>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</si>
  <si>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</si>
  <si>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</si>
  <si>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</si>
  <si>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</si>
  <si>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</si>
  <si>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</si>
  <si>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</si>
  <si>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</si>
  <si>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</si>
  <si>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</si>
  <si>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</si>
  <si>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</si>
  <si>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</si>
  <si>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</si>
  <si>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</si>
  <si>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</si>
  <si>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</si>
  <si>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</si>
  <si>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</si>
  <si>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</si>
  <si>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</si>
  <si>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</si>
  <si>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</si>
  <si>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</si>
  <si>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</si>
  <si>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</si>
  <si>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</si>
  <si>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</si>
  <si>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</si>
  <si>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</si>
  <si>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</si>
  <si>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</si>
  <si>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</si>
  <si>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</si>
  <si>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</si>
  <si>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</si>
  <si>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</si>
  <si>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</si>
  <si>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</si>
  <si>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</si>
  <si>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</si>
  <si>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</si>
  <si>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</si>
  <si>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</si>
  <si>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</si>
  <si>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</si>
  <si>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</si>
  <si>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</si>
  <si>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</si>
  <si>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</si>
  <si>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</si>
  <si>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</si>
  <si>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</si>
  <si>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</si>
  <si>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</si>
  <si>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</si>
  <si>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</si>
  <si>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</si>
  <si>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</si>
  <si>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</si>
  <si>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</si>
  <si>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</si>
  <si>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</si>
  <si>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</si>
  <si>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</si>
  <si>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</si>
  <si>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</si>
  <si>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</si>
  <si>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</si>
  <si>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</si>
  <si>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</si>
  <si>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</si>
  <si>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</si>
  <si>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</si>
  <si>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</si>
  <si>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</si>
  <si>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</si>
  <si>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</si>
  <si>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</si>
  <si>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</si>
  <si>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</si>
  <si>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</si>
  <si>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</si>
  <si>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</si>
  <si>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</si>
  <si>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</si>
  <si>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</si>
  <si>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</si>
  <si>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</si>
  <si>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</si>
  <si>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</si>
  <si>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</si>
  <si>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</si>
  <si>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</si>
  <si>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</si>
  <si>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</si>
  <si>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</si>
  <si>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</si>
  <si>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</si>
  <si>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</si>
  <si>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</si>
  <si>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</si>
  <si>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</si>
  <si>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</si>
  <si>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</si>
  <si>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</si>
  <si>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</si>
  <si>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</si>
  <si>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</si>
  <si>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</si>
  <si>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</si>
  <si>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</si>
  <si>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</si>
  <si>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</si>
  <si>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</si>
  <si>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</si>
  <si>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</si>
  <si>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</si>
  <si>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</si>
  <si>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</si>
  <si>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</si>
  <si>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</si>
  <si>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</si>
  <si>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</si>
  <si>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</si>
  <si>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</si>
  <si>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</si>
  <si>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</si>
  <si>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</si>
  <si>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</si>
  <si>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</si>
  <si>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</si>
  <si>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</si>
  <si>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</si>
  <si>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</si>
  <si>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</si>
  <si>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</si>
  <si>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</si>
  <si>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</si>
  <si>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</si>
  <si>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</si>
  <si>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</si>
  <si>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</si>
  <si>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</si>
  <si>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</si>
  <si>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</si>
  <si>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</si>
  <si>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</si>
  <si>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</si>
  <si>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</si>
  <si>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</si>
  <si>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</si>
  <si>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</si>
  <si>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</si>
  <si>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</si>
  <si>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</si>
  <si>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</si>
  <si>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</si>
  <si>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</si>
  <si>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</si>
  <si>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</si>
  <si>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</si>
  <si>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</si>
  <si>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</si>
  <si>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</si>
  <si>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</si>
  <si>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</si>
  <si>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</si>
  <si>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</si>
  <si>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</si>
  <si>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</si>
  <si>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</si>
  <si>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</si>
  <si>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</si>
  <si>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</si>
  <si>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</si>
  <si>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</si>
  <si>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</si>
  <si>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</si>
  <si>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</si>
  <si>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</si>
  <si>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</si>
  <si>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</si>
  <si>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</si>
  <si>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</si>
  <si>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</si>
  <si>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</si>
  <si>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</si>
  <si>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</si>
  <si>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</si>
  <si>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</si>
  <si>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</si>
  <si>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</si>
  <si>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</si>
  <si>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</si>
  <si>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</si>
  <si>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</si>
  <si>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</si>
  <si>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</si>
  <si>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</si>
  <si>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</si>
  <si>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</si>
  <si>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</si>
  <si>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</si>
  <si>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</si>
  <si>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</si>
  <si>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</si>
  <si>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</si>
  <si>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</si>
  <si>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</si>
  <si>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</si>
  <si>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</si>
  <si>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</si>
  <si>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</si>
  <si>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</si>
  <si>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</si>
  <si>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</si>
  <si>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</si>
  <si>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</si>
  <si>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</si>
  <si>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</si>
  <si>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</si>
  <si>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</si>
  <si>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</si>
  <si>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</si>
  <si>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</si>
  <si>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</si>
  <si>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</si>
  <si>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</si>
  <si>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</si>
  <si>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</si>
  <si>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</si>
  <si>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</si>
  <si>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</si>
  <si>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</si>
  <si>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</si>
  <si>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</si>
  <si>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</si>
  <si>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</si>
  <si>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</si>
  <si>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</si>
  <si>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</si>
  <si>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</si>
  <si>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</si>
  <si>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</si>
  <si>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</si>
  <si>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</si>
  <si>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</si>
  <si>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</si>
  <si>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</si>
  <si>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</si>
  <si>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</si>
  <si>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</si>
  <si>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</si>
  <si>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</si>
  <si>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</si>
  <si>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</si>
  <si>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</si>
  <si>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</si>
  <si>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</si>
  <si>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</si>
  <si>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</si>
  <si>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</si>
  <si>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</si>
  <si>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</si>
  <si>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</si>
  <si>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</si>
  <si>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</si>
  <si>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</si>
  <si>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</si>
  <si>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</si>
  <si>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</si>
  <si>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</si>
  <si>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</si>
  <si>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</si>
  <si>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</si>
  <si>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</si>
  <si>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</si>
  <si>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</si>
  <si>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</si>
  <si>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</si>
  <si>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</si>
  <si>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</si>
  <si>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</si>
  <si>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</si>
  <si>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</si>
  <si>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</si>
  <si>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</si>
  <si>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</si>
  <si>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</si>
  <si>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</si>
  <si>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</si>
  <si>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</si>
  <si>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</si>
  <si>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</si>
  <si>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</si>
  <si>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</si>
  <si>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</si>
  <si>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</si>
  <si>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</si>
  <si>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</si>
  <si>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</si>
  <si>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</si>
  <si>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</si>
  <si>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</si>
  <si>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</si>
  <si>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</si>
  <si>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</si>
  <si>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</si>
  <si>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</si>
  <si>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</si>
  <si>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</si>
  <si>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</si>
  <si>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</si>
  <si>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</si>
  <si>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</si>
  <si>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</si>
  <si>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</si>
  <si>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</si>
  <si>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</si>
  <si>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</si>
  <si>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</si>
  <si>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</si>
  <si>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</si>
  <si>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</si>
  <si>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</si>
  <si>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</si>
  <si>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</si>
  <si>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</si>
  <si>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</si>
  <si>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</si>
  <si>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</si>
  <si>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</si>
  <si>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</si>
  <si>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</si>
  <si>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</si>
  <si>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</si>
  <si>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</si>
  <si>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</si>
  <si>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</si>
  <si>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</si>
  <si>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</si>
  <si>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</si>
  <si>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</si>
  <si>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</si>
  <si>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</si>
  <si>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</si>
  <si>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</si>
  <si>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</si>
  <si>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</si>
  <si>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</si>
  <si>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</si>
  <si>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</si>
  <si>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</si>
  <si>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</si>
  <si>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</si>
  <si>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</si>
  <si>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</si>
  <si>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</si>
  <si>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</si>
  <si>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</si>
  <si>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</si>
  <si>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</si>
  <si>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</si>
  <si>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</si>
  <si>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</si>
  <si>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</si>
  <si>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</si>
  <si>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</si>
  <si>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</si>
  <si>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</si>
  <si>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</si>
  <si>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</si>
  <si>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</si>
  <si>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</si>
  <si>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</si>
  <si>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</si>
  <si>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</si>
  <si>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</si>
  <si>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</si>
  <si>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</si>
  <si>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</si>
  <si>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</si>
  <si>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</si>
  <si>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</si>
  <si>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</si>
  <si>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</si>
  <si>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</si>
  <si>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</si>
  <si>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</si>
  <si>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</si>
  <si>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</si>
  <si>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</si>
  <si>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</si>
  <si>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</si>
  <si>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</si>
  <si>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</si>
  <si>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</si>
  <si>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</si>
  <si>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</si>
  <si>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</si>
  <si>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</si>
  <si>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</si>
  <si>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</si>
  <si>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</si>
  <si>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</si>
  <si>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</si>
  <si>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</si>
  <si>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</si>
  <si>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</si>
  <si>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</si>
  <si>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</si>
  <si>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</si>
  <si>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</si>
  <si>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</si>
  <si>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</si>
  <si>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</si>
  <si>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</si>
  <si>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</si>
  <si>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</si>
  <si>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</si>
  <si>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</si>
  <si>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</si>
  <si>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</si>
  <si>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</si>
  <si>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</si>
  <si>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</si>
  <si>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</si>
  <si>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</si>
  <si>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</si>
  <si>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</si>
  <si>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</si>
  <si>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</si>
  <si>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</si>
  <si>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</si>
  <si>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</si>
  <si>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</si>
  <si>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</si>
  <si>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</si>
  <si>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</si>
  <si>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</si>
  <si>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</si>
  <si>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</si>
  <si>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</si>
  <si>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</si>
  <si>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</si>
  <si>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</si>
  <si>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</si>
  <si>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</si>
  <si>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</si>
  <si>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</si>
  <si>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</si>
  <si>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</si>
  <si>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</si>
  <si>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</si>
  <si>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</si>
  <si>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</si>
  <si>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</si>
  <si>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</si>
  <si>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</si>
  <si>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</si>
  <si>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</si>
  <si>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</si>
  <si>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</si>
  <si>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</si>
  <si>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</si>
  <si>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</si>
  <si>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</si>
  <si>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</si>
  <si>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</si>
  <si>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</si>
  <si>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</si>
  <si>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</si>
  <si>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</si>
  <si>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</si>
  <si>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</si>
  <si>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</si>
  <si>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</si>
  <si>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</si>
  <si>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</si>
  <si>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</si>
  <si>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</si>
  <si>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</si>
  <si>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</si>
  <si>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</si>
  <si>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</si>
  <si>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</si>
  <si>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</si>
  <si>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</si>
  <si>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</si>
  <si>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</si>
  <si>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</si>
  <si>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</si>
  <si>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</si>
  <si>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</si>
  <si>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</si>
  <si>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</si>
  <si>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</si>
  <si>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</si>
  <si>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</si>
  <si>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</si>
  <si>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</si>
  <si>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</si>
  <si>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</si>
  <si>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</si>
  <si>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</si>
  <si>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</si>
  <si>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</si>
  <si>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</si>
  <si>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</si>
  <si>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</si>
  <si>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</si>
  <si>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</si>
  <si>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</si>
  <si>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</si>
  <si>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</si>
  <si>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</si>
  <si>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</si>
  <si>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</si>
  <si>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</si>
  <si>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</si>
  <si>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</si>
  <si>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</si>
  <si>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</si>
  <si>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</si>
  <si>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</si>
  <si>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</si>
  <si>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</si>
  <si>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</si>
  <si>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</si>
  <si>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</si>
  <si>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</si>
  <si>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</si>
  <si>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</si>
  <si>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</si>
  <si>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</si>
  <si>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</si>
  <si>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</si>
  <si>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</si>
  <si>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</si>
  <si>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</si>
  <si>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</si>
  <si>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</si>
  <si>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</si>
  <si>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</si>
  <si>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</si>
  <si>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</si>
  <si>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</si>
  <si>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</si>
  <si>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</si>
  <si>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</si>
  <si>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</si>
  <si>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</si>
  <si>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</si>
  <si>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</si>
  <si>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</si>
  <si>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</si>
  <si>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</si>
  <si>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</si>
  <si>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</si>
  <si>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</si>
  <si>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</si>
  <si>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</si>
  <si>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</si>
  <si>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</si>
  <si>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</si>
  <si>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</si>
  <si>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</si>
  <si>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</si>
  <si>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</si>
  <si>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</si>
  <si>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</si>
  <si>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</si>
  <si>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</si>
  <si>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</si>
  <si>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</si>
  <si>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</si>
  <si>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</si>
  <si>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</si>
  <si>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</si>
  <si>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</si>
  <si>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</si>
  <si>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</si>
  <si>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</si>
  <si>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</si>
  <si>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</si>
  <si>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</si>
  <si>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</si>
  <si>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</si>
  <si>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</si>
  <si>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</si>
  <si>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</si>
  <si>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</si>
  <si>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</si>
  <si>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</si>
  <si>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</si>
  <si>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</si>
  <si>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</si>
  <si>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</si>
  <si>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</si>
  <si>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</si>
  <si>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</si>
  <si>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</si>
  <si>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</si>
  <si>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</si>
  <si>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</si>
  <si>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</si>
  <si>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</si>
  <si>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</si>
  <si>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</si>
  <si>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</si>
  <si>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</si>
  <si>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</si>
  <si>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</si>
  <si>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</si>
  <si>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</si>
  <si>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</si>
  <si>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</si>
  <si>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</si>
  <si>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</si>
  <si>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</si>
  <si>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</si>
  <si>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</si>
  <si>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</si>
  <si>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</si>
  <si>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</si>
  <si>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</si>
  <si>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</si>
  <si>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</si>
  <si>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</si>
  <si>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</si>
  <si>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</si>
  <si>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</si>
  <si>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</si>
  <si>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</si>
  <si>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</si>
  <si>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</si>
  <si>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</si>
  <si>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</si>
  <si>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</si>
  <si>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</si>
  <si>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</si>
  <si>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</si>
  <si>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</si>
  <si>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</si>
  <si>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</si>
  <si>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</si>
  <si>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</si>
  <si>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</si>
  <si>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</si>
  <si>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</si>
  <si>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</si>
  <si>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</si>
  <si>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</si>
  <si>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</si>
  <si>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</si>
  <si>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</si>
  <si>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</si>
  <si>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</si>
  <si>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</si>
  <si>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</si>
  <si>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</si>
  <si>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</si>
  <si>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</si>
  <si>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</si>
  <si>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</si>
  <si>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</si>
  <si>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</si>
  <si>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</si>
  <si>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</si>
  <si>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</si>
  <si>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</si>
  <si>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</si>
  <si>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</si>
  <si>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</si>
  <si>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</si>
  <si>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</si>
  <si>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</si>
  <si>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</si>
  <si>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</si>
  <si>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</si>
  <si>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</si>
  <si>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</si>
  <si>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</si>
  <si>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</si>
  <si>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</si>
  <si>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</si>
  <si>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</si>
  <si>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</si>
  <si>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</si>
  <si>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</si>
  <si>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</si>
  <si>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</si>
  <si>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</si>
  <si>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</si>
  <si>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</si>
  <si>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</si>
  <si>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</si>
  <si>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</si>
  <si>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</si>
  <si>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</si>
  <si>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</si>
  <si>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</si>
  <si>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</si>
  <si>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</si>
  <si>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</si>
  <si>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</si>
  <si>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</si>
  <si>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</si>
  <si>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</si>
  <si>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</si>
  <si>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</si>
  <si>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</si>
  <si>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</si>
  <si>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</si>
  <si>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</si>
  <si>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</si>
  <si>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</si>
  <si>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</si>
  <si>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</si>
  <si>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</si>
  <si>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</si>
  <si>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</si>
  <si>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</si>
  <si>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</si>
  <si>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</si>
  <si>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</si>
  <si>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</si>
  <si>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</si>
  <si>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</si>
  <si>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</si>
  <si>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</si>
  <si>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</si>
  <si>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</si>
  <si>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</si>
  <si>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</si>
  <si>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</si>
  <si>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</si>
  <si>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</si>
  <si>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</si>
  <si>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</si>
  <si>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</si>
  <si>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</si>
  <si>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</si>
  <si>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</si>
  <si>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</si>
  <si>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</si>
  <si>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</si>
  <si>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</si>
  <si>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</si>
  <si>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</si>
  <si>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</si>
  <si>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</si>
  <si>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</si>
  <si>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</si>
  <si>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</si>
  <si>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</si>
  <si>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</si>
  <si>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</si>
  <si>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</si>
  <si>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</si>
  <si>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</si>
  <si>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</si>
  <si>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</si>
  <si>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</si>
  <si>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</si>
  <si>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</si>
  <si>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</si>
  <si>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</si>
  <si>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</si>
  <si>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</si>
  <si>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</si>
  <si>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</si>
  <si>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</si>
  <si>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</si>
  <si>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</si>
  <si>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</si>
  <si>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</si>
  <si>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</si>
  <si>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</si>
  <si>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</si>
  <si>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</si>
  <si>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</si>
  <si>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</si>
  <si>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</si>
  <si>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</si>
  <si>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</si>
  <si>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</si>
  <si>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</si>
  <si>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</si>
  <si>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</si>
  <si>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</si>
  <si>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</si>
  <si>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</si>
  <si>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</si>
  <si>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</si>
  <si>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</si>
  <si>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</si>
  <si>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</si>
  <si>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</si>
  <si>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</si>
  <si>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</si>
  <si>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</si>
  <si>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</si>
  <si>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</si>
  <si>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</si>
  <si>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</si>
  <si>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</si>
  <si>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</si>
  <si>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</si>
  <si>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</si>
  <si>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</si>
  <si>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</si>
  <si>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</si>
  <si>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</si>
  <si>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</si>
  <si>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</si>
  <si>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</si>
  <si>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</si>
  <si>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</si>
  <si>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</si>
  <si>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</si>
  <si>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</si>
  <si>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</si>
  <si>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</si>
  <si>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</si>
  <si>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</si>
  <si>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</si>
  <si>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</si>
  <si>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</si>
  <si>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</si>
  <si>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</si>
  <si>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</si>
  <si>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</si>
  <si>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</si>
  <si>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</si>
  <si>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</si>
  <si>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</si>
  <si>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</si>
  <si>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</si>
  <si>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</si>
  <si>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</si>
  <si>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</si>
  <si>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</si>
  <si>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</si>
  <si>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</si>
  <si>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</si>
  <si>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</si>
  <si>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</si>
  <si>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</si>
  <si>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</si>
  <si>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</si>
  <si>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</si>
  <si>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</si>
  <si>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</si>
  <si>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</si>
  <si>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</si>
  <si>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</si>
  <si>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</si>
  <si>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</si>
  <si>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</si>
  <si>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</si>
  <si>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</si>
  <si>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</si>
  <si>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</si>
  <si>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</si>
  <si>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</si>
  <si>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</si>
  <si>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</si>
  <si>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</si>
  <si>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</si>
  <si>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</si>
  <si>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</si>
  <si>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</si>
  <si>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</si>
  <si>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</si>
  <si>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</si>
  <si>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</si>
  <si>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</si>
  <si>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</si>
  <si>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</si>
  <si>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</si>
  <si>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</si>
  <si>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</si>
  <si>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</si>
  <si>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</si>
  <si>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</si>
  <si>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</si>
  <si>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</si>
  <si>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</si>
  <si>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</si>
  <si>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</si>
  <si>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</si>
  <si>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</si>
  <si>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</si>
  <si>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</si>
  <si>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</si>
  <si>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</si>
  <si>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</si>
  <si>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</si>
  <si>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</si>
  <si>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</si>
  <si>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</si>
  <si>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</si>
  <si>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</si>
  <si>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</si>
  <si>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</si>
  <si>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</si>
  <si>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</si>
  <si>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</si>
  <si>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</si>
  <si>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</si>
  <si>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</si>
  <si>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</si>
  <si>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</si>
  <si>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</si>
  <si>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</si>
  <si>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</si>
  <si>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</si>
  <si>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</si>
  <si>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</si>
  <si>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</si>
  <si>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</si>
  <si>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</si>
  <si>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</si>
  <si>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</si>
  <si>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</si>
  <si>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</si>
  <si>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</si>
  <si>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</si>
  <si>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</si>
  <si>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</si>
  <si>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</si>
  <si>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</si>
  <si>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</si>
  <si>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</si>
  <si>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</si>
  <si>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</si>
  <si>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</si>
  <si>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</si>
  <si>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</si>
  <si>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</si>
  <si>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</si>
  <si>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</si>
  <si>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</si>
  <si>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</si>
  <si>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</si>
  <si>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</si>
  <si>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</si>
  <si>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</si>
  <si>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</si>
  <si>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</si>
  <si>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</si>
  <si>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</si>
  <si>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</si>
  <si>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</si>
  <si>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</si>
  <si>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</si>
  <si>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</si>
  <si>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</si>
  <si>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</si>
  <si>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</si>
  <si>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</si>
  <si>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</si>
  <si>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</si>
  <si>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</si>
  <si>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</si>
  <si>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</si>
  <si>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</si>
  <si>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</si>
  <si>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</si>
  <si>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</si>
  <si>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</si>
  <si>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</si>
  <si>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</si>
  <si>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</si>
  <si>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</si>
  <si>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</si>
  <si>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</si>
  <si>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</si>
  <si>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</si>
  <si>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</si>
  <si>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</si>
  <si>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</si>
  <si>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</si>
  <si>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</si>
  <si>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</si>
  <si>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</si>
  <si>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</si>
  <si>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</si>
  <si>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</si>
  <si>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</si>
  <si>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</si>
  <si>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</si>
  <si>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</si>
  <si>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</si>
  <si>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</si>
  <si>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</si>
  <si>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</si>
  <si>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</si>
  <si>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</si>
  <si>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</si>
  <si>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</si>
  <si>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</si>
  <si>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</si>
  <si>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</si>
  <si>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</si>
  <si>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</si>
  <si>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</si>
  <si>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</si>
  <si>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</si>
  <si>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</si>
  <si>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</si>
  <si>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</si>
  <si>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</si>
  <si>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</si>
  <si>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</si>
  <si>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</si>
  <si>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</si>
  <si>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</si>
  <si>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</si>
  <si>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</si>
  <si>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</si>
  <si>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</si>
  <si>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</si>
  <si>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</si>
  <si>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</si>
  <si>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</si>
  <si>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</si>
  <si>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</si>
  <si>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</si>
  <si>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</si>
  <si>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</si>
  <si>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</si>
  <si>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</si>
  <si>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</si>
  <si>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</si>
  <si>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</si>
  <si>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</si>
  <si>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</si>
  <si>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</si>
  <si>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</si>
  <si>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</si>
  <si>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</si>
  <si>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</si>
  <si>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</si>
  <si>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</si>
  <si>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</si>
  <si>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</si>
  <si>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</si>
  <si>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</si>
  <si>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</si>
  <si>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</si>
  <si>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</si>
  <si>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</si>
  <si>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</si>
  <si>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</si>
  <si>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</si>
  <si>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</si>
  <si>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</si>
  <si>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</si>
  <si>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</si>
  <si>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</si>
  <si>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</si>
  <si>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</si>
  <si>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</si>
  <si>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</si>
  <si>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</si>
  <si>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</si>
  <si>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</si>
  <si>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</si>
  <si>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</si>
  <si>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</si>
  <si>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</si>
  <si>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</si>
  <si>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</si>
  <si>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</si>
  <si>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</si>
  <si>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</si>
  <si>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</si>
  <si>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</si>
  <si>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</si>
  <si>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</si>
  <si>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</si>
  <si>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</si>
  <si>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</si>
  <si>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</si>
  <si>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</si>
  <si>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</si>
  <si>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</si>
  <si>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</si>
  <si>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</si>
  <si>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</si>
  <si>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</si>
  <si>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</si>
  <si>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</si>
  <si>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</si>
  <si>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</si>
  <si>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</si>
  <si>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</si>
  <si>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</si>
  <si>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</si>
  <si>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</si>
  <si>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</si>
  <si>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</si>
  <si>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</si>
  <si>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</si>
  <si>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</si>
  <si>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</si>
  <si>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</si>
  <si>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</si>
  <si>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</si>
  <si>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</si>
  <si>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</si>
  <si>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</si>
  <si>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</si>
  <si>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</si>
  <si>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</si>
  <si>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</si>
  <si>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</si>
  <si>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</si>
  <si>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</si>
  <si>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</si>
  <si>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</si>
  <si>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</si>
  <si>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</si>
  <si>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</si>
  <si>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</si>
  <si>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</si>
  <si>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</si>
  <si>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</si>
  <si>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</si>
  <si>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</si>
  <si>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</si>
  <si>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</si>
  <si>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</si>
  <si>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</si>
  <si>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</si>
  <si>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</si>
  <si>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</si>
  <si>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</si>
  <si>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</si>
  <si>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</si>
  <si>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</si>
  <si>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</si>
  <si>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</si>
  <si>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</si>
  <si>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</si>
  <si>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</si>
  <si>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</si>
  <si>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</si>
  <si>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</si>
  <si>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</si>
  <si>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</si>
  <si>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</si>
  <si>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</si>
  <si>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</si>
  <si>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</si>
  <si>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</si>
  <si>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</si>
  <si>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</si>
  <si>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</si>
  <si>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</si>
  <si>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</si>
  <si>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</si>
  <si>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</si>
  <si>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</si>
  <si>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</si>
  <si>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</si>
  <si>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</si>
  <si>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</si>
  <si>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</si>
  <si>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</si>
  <si>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</si>
  <si>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</si>
  <si>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</si>
  <si>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</si>
  <si>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</si>
  <si>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</si>
  <si>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</si>
  <si>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</si>
  <si>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</si>
  <si>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</si>
  <si>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</si>
  <si>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</si>
  <si>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</si>
  <si>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</si>
  <si>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</si>
  <si>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</si>
  <si>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</si>
  <si>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</si>
  <si>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</si>
  <si>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</si>
  <si>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</si>
  <si>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</si>
  <si>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</si>
  <si>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</si>
  <si>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</si>
  <si>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</si>
  <si>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</si>
  <si>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</si>
  <si>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</si>
  <si>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</si>
  <si>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</si>
  <si>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</si>
  <si>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</si>
  <si>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</si>
  <si>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</si>
  <si>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</si>
  <si>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</si>
  <si>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</si>
  <si>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</si>
  <si>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</si>
  <si>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</si>
  <si>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</si>
  <si>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</si>
  <si>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</si>
  <si>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</si>
  <si>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</si>
  <si>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</si>
  <si>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</si>
  <si>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</si>
  <si>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</si>
  <si>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</si>
  <si>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</si>
  <si>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</si>
  <si>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</si>
  <si>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</si>
  <si>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</si>
  <si>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</si>
  <si>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</si>
  <si>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</si>
  <si>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</si>
  <si>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</si>
  <si>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</si>
  <si>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</si>
  <si>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</si>
  <si>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</si>
  <si>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</si>
  <si>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</si>
  <si>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</si>
  <si>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</si>
  <si>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</si>
  <si>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</si>
  <si>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</si>
  <si>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</si>
  <si>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</si>
  <si>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</si>
  <si>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</si>
  <si>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</si>
  <si>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</si>
  <si>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</si>
  <si>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</si>
  <si>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</si>
  <si>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</si>
  <si>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</si>
  <si>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</si>
  <si>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</si>
  <si>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</si>
  <si>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</si>
  <si>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</si>
  <si>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</si>
  <si>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</si>
  <si>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</si>
  <si>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</si>
  <si>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</si>
  <si>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</si>
  <si>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</si>
  <si>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</si>
  <si>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</si>
  <si>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</si>
  <si>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</si>
  <si>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</si>
  <si>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</si>
  <si>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</si>
  <si>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</si>
  <si>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</si>
  <si>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</si>
  <si>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</si>
  <si>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</si>
  <si>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</si>
  <si>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</si>
  <si>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</si>
  <si>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</si>
  <si>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</si>
  <si>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</si>
  <si>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</si>
  <si>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</si>
  <si>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</si>
  <si>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</si>
  <si>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</si>
  <si>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</si>
  <si>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</si>
  <si>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</si>
  <si>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</si>
  <si>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</si>
  <si>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</si>
  <si>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</si>
  <si>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</si>
  <si>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</si>
  <si>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</si>
  <si>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</si>
  <si>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</si>
  <si>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</si>
  <si>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</si>
  <si>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</si>
  <si>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</si>
  <si>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</si>
  <si>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</si>
  <si>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</si>
  <si>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</si>
  <si>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</si>
  <si>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</si>
  <si>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</si>
  <si>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</si>
  <si>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</si>
  <si>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</si>
  <si>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</si>
  <si>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</si>
  <si>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</si>
  <si>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</si>
  <si>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</si>
  <si>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</si>
  <si>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</si>
  <si>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</si>
  <si>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</si>
  <si>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</si>
  <si>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</si>
  <si>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</si>
  <si>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</si>
  <si>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</si>
  <si>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</si>
  <si>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</si>
  <si>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</si>
  <si>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</si>
  <si>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</si>
  <si>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</si>
  <si>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</si>
  <si>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</si>
  <si>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</si>
  <si>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</si>
  <si>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</si>
  <si>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</si>
  <si>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</si>
  <si>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</si>
  <si>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</si>
  <si>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</si>
  <si>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</si>
  <si>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</si>
  <si>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</si>
  <si>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</si>
  <si>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</si>
  <si>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</si>
  <si>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</si>
  <si>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</si>
  <si>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</si>
  <si>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</si>
  <si>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</si>
  <si>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</si>
  <si>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</si>
  <si>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</si>
  <si>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</si>
  <si>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</si>
  <si>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</si>
  <si>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</si>
  <si>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</si>
  <si>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</si>
  <si>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</si>
  <si>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</si>
  <si>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</si>
  <si>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</si>
  <si>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</si>
  <si>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</si>
  <si>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</si>
  <si>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</si>
  <si>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</si>
  <si>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</si>
  <si>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</si>
  <si>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</si>
  <si>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</si>
  <si>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</si>
  <si>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</si>
  <si>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</si>
  <si>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</si>
  <si>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</si>
  <si>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</si>
  <si>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</si>
  <si>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</si>
  <si>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</si>
  <si>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</si>
  <si>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</si>
  <si>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</si>
  <si>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</si>
  <si>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</si>
  <si>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</si>
  <si>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</si>
  <si>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</si>
  <si>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</si>
  <si>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</si>
  <si>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</si>
  <si>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</si>
  <si>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</si>
  <si>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</si>
  <si>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</si>
  <si>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</si>
  <si>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</si>
  <si>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</si>
  <si>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</si>
  <si>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</si>
  <si>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</si>
  <si>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</si>
  <si>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</si>
  <si>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</si>
  <si>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</si>
  <si>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</si>
  <si>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</si>
  <si>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</si>
  <si>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</si>
  <si>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</si>
  <si>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</si>
  <si>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</si>
  <si>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</si>
  <si>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</si>
  <si>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</si>
  <si>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</si>
  <si>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</si>
  <si>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</si>
  <si>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</si>
  <si>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</si>
  <si>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</si>
  <si>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</si>
  <si>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</si>
  <si>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</si>
  <si>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</si>
  <si>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</si>
  <si>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</si>
  <si>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</si>
  <si>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</si>
  <si>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</si>
  <si>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</si>
  <si>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</si>
  <si>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</si>
  <si>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</si>
  <si>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</si>
  <si>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</si>
  <si>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</si>
  <si>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</si>
  <si>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</si>
  <si>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</si>
  <si>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</si>
  <si>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</si>
  <si>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</si>
  <si>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</si>
  <si>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</si>
  <si>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</si>
  <si>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</si>
  <si>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</si>
  <si>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</si>
  <si>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</si>
  <si>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</si>
  <si>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</si>
  <si>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</si>
  <si>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</si>
  <si>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</si>
  <si>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</si>
  <si>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</si>
  <si>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</si>
  <si>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</si>
  <si>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</si>
  <si>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</si>
  <si>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</si>
  <si>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</si>
  <si>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</si>
  <si>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</si>
  <si>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</si>
  <si>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</si>
  <si>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</si>
  <si>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</si>
  <si>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</si>
  <si>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</si>
  <si>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</si>
  <si>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</si>
  <si>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</si>
  <si>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</si>
  <si>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</si>
  <si>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</si>
  <si>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</si>
  <si>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</si>
  <si>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</si>
  <si>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</si>
  <si>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</si>
  <si>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</si>
  <si>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</si>
  <si>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</si>
  <si>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</si>
  <si>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</si>
  <si>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</si>
  <si>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</si>
  <si>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</si>
  <si>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</si>
  <si>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</si>
  <si>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</si>
  <si>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</si>
  <si>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</si>
  <si>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</si>
  <si>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</si>
  <si>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</si>
  <si>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</si>
  <si>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</si>
  <si>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</si>
  <si>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</si>
  <si>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</si>
  <si>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</si>
  <si>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</si>
  <si>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</si>
  <si>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</si>
  <si>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</si>
  <si>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</si>
  <si>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</si>
  <si>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</si>
  <si>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</si>
  <si>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</si>
  <si>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</si>
  <si>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</si>
  <si>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</si>
  <si>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</si>
  <si>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</si>
  <si>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</si>
  <si>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</si>
  <si>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</si>
  <si>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</si>
  <si>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</si>
  <si>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</si>
  <si>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</si>
  <si>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</si>
  <si>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</si>
  <si>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</si>
  <si>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</si>
  <si>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</si>
  <si>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</si>
  <si>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</si>
  <si>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</si>
  <si>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</si>
  <si>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</si>
  <si>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</si>
  <si>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</si>
  <si>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</si>
  <si>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</si>
  <si>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</si>
  <si>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</si>
  <si>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</si>
  <si>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</si>
  <si>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</si>
  <si>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</si>
  <si>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</si>
  <si>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</si>
  <si>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</si>
  <si>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</si>
  <si>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</si>
  <si>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</si>
  <si>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</si>
  <si>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</si>
  <si>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</si>
  <si>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</si>
  <si>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</si>
  <si>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</si>
  <si>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</si>
  <si>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</si>
  <si>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</si>
  <si>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</si>
  <si>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</si>
  <si>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</si>
  <si>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</si>
  <si>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</si>
  <si>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</si>
  <si>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</si>
  <si>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</si>
  <si>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</si>
  <si>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</si>
  <si>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</si>
  <si>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</si>
  <si>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</si>
  <si>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</si>
  <si>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</si>
  <si>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</si>
  <si>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</si>
  <si>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</si>
  <si>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</si>
  <si>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</si>
  <si>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</si>
  <si>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</si>
  <si>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</si>
  <si>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</si>
  <si>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</si>
  <si>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</si>
  <si>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</si>
  <si>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</si>
  <si>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</si>
  <si>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</si>
  <si>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</si>
  <si>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</si>
  <si>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</si>
  <si>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</si>
  <si>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</si>
  <si>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</si>
  <si>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</si>
  <si>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</si>
  <si>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</si>
  <si>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</si>
  <si>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</si>
  <si>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</si>
  <si>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</si>
  <si>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</si>
  <si>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</si>
  <si>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</si>
  <si>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</si>
  <si>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</si>
  <si>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</si>
  <si>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</si>
  <si>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</si>
  <si>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</si>
  <si>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</si>
  <si>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</si>
  <si>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</si>
  <si>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</si>
  <si>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</si>
  <si>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</si>
  <si>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</si>
  <si>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</si>
  <si>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</si>
  <si>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</si>
  <si>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</si>
  <si>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</si>
  <si>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</si>
  <si>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</si>
  <si>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</si>
  <si>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</si>
  <si>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</si>
  <si>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</si>
  <si>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</si>
  <si>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</si>
  <si>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</si>
  <si>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</si>
  <si>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</si>
  <si>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</si>
  <si>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</si>
  <si>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</si>
  <si>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</si>
  <si>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</si>
  <si>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</si>
  <si>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</si>
  <si>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</si>
  <si>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</si>
  <si>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</si>
  <si>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</si>
  <si>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</si>
  <si>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</si>
  <si>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</si>
  <si>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</si>
  <si>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</si>
  <si>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</si>
  <si>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</si>
  <si>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</si>
  <si>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</si>
  <si>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</si>
  <si>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</si>
  <si>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</si>
  <si>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</si>
  <si>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</si>
  <si>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</si>
  <si>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</si>
  <si>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</si>
  <si>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</si>
  <si>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</si>
  <si>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</si>
  <si>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</si>
  <si>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</si>
  <si>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</si>
  <si>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</si>
  <si>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</si>
  <si>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</si>
  <si>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</si>
  <si>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</si>
  <si>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</si>
  <si>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</si>
  <si>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</si>
  <si>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</si>
  <si>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</si>
  <si>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</si>
  <si>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</si>
  <si>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</si>
  <si>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</si>
  <si>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</si>
  <si>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</si>
  <si>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</si>
  <si>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</si>
  <si>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</si>
  <si>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</si>
  <si>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</si>
  <si>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</si>
  <si>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</si>
  <si>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</si>
  <si>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</si>
  <si>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</si>
  <si>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</si>
  <si>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</si>
  <si>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</si>
  <si>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</si>
  <si>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</si>
  <si>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</si>
  <si>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</si>
  <si>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</si>
  <si>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</si>
  <si>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</si>
  <si>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</si>
  <si>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</si>
  <si>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</si>
  <si>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</si>
  <si>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</si>
  <si>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</si>
  <si>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</si>
  <si>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</si>
  <si>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</si>
  <si>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</si>
  <si>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</si>
  <si>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</si>
  <si>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</si>
  <si>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</si>
  <si>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</si>
  <si>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</si>
  <si>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</si>
  <si>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</si>
  <si>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</si>
  <si>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</si>
  <si>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</si>
  <si>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</si>
  <si>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</si>
  <si>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</si>
  <si>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</si>
  <si>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</si>
  <si>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</si>
  <si>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</si>
  <si>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</si>
  <si>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</si>
  <si>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</si>
  <si>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</si>
  <si>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</si>
  <si>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</si>
  <si>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</si>
  <si>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</si>
  <si>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</si>
  <si>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</si>
  <si>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</si>
  <si>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</si>
  <si>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</si>
  <si>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</si>
  <si>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</si>
  <si>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</si>
  <si>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</si>
  <si>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</si>
  <si>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</si>
  <si>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</si>
  <si>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</si>
  <si>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</si>
  <si>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</si>
  <si>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</si>
  <si>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</si>
  <si>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</si>
  <si>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</si>
  <si>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</si>
  <si>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</si>
  <si>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</si>
  <si>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</si>
  <si>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</si>
  <si>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</si>
  <si>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</si>
  <si>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</si>
  <si>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</si>
  <si>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</si>
  <si>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</si>
  <si>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</si>
  <si>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</si>
  <si>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</si>
  <si>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</si>
  <si>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</si>
  <si>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</si>
  <si>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</si>
  <si>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</si>
  <si>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</si>
  <si>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</si>
  <si>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</si>
  <si>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</si>
  <si>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</si>
  <si>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</si>
  <si>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</si>
  <si>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</si>
  <si>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</si>
  <si>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</si>
  <si>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</si>
  <si>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</si>
  <si>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</si>
  <si>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</si>
  <si>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</si>
  <si>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</si>
  <si>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</si>
  <si>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</si>
  <si>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</si>
  <si>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</si>
  <si>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</si>
  <si>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</si>
  <si>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</si>
  <si>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</si>
  <si>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</si>
  <si>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</si>
  <si>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</si>
  <si>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</si>
  <si>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</si>
  <si>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</si>
  <si>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</si>
  <si>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</si>
  <si>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</si>
  <si>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</si>
  <si>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</si>
  <si>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</si>
  <si>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</si>
  <si>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</si>
  <si>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</si>
  <si>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</si>
  <si>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</si>
  <si>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</si>
  <si>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</si>
  <si>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</si>
  <si>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</si>
  <si>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</si>
  <si>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</si>
  <si>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</si>
  <si>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</si>
  <si>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</si>
  <si>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</si>
  <si>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</si>
  <si>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</si>
  <si>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</si>
  <si>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</si>
  <si>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</si>
  <si>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</si>
  <si>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</si>
  <si>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</si>
  <si>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</si>
  <si>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</si>
  <si>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</si>
  <si>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</si>
  <si>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</si>
  <si>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</si>
  <si>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</si>
  <si>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</si>
  <si>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</si>
  <si>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</si>
  <si>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</si>
  <si>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</si>
  <si>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</si>
  <si>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</si>
  <si>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</si>
  <si>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</si>
  <si>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</si>
  <si>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</si>
  <si>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</si>
  <si>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</si>
  <si>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</si>
  <si>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</si>
  <si>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</si>
  <si>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</si>
  <si>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</si>
  <si>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</si>
  <si>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</si>
  <si>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</si>
  <si>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</si>
  <si>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</si>
  <si>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</si>
  <si>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</si>
  <si>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</si>
  <si>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</si>
  <si>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</si>
  <si>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</si>
  <si>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</si>
  <si>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</si>
  <si>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</si>
  <si>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</si>
  <si>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</si>
  <si>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</si>
  <si>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</si>
  <si>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</si>
  <si>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</si>
  <si>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</si>
  <si>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</si>
  <si>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</si>
  <si>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</si>
  <si>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</si>
  <si>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</si>
  <si>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</si>
  <si>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</si>
  <si>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</si>
  <si>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</si>
  <si>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</si>
  <si>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</si>
  <si>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</si>
  <si>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</si>
  <si>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</si>
  <si>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</si>
  <si>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</si>
  <si>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</si>
  <si>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</si>
  <si>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</si>
  <si>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</si>
  <si>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</si>
  <si>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</si>
  <si>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</si>
  <si>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</si>
  <si>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</si>
  <si>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</si>
  <si>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</si>
  <si>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</si>
  <si>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</si>
  <si>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</si>
  <si>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</si>
  <si>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</si>
  <si>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</si>
  <si>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</si>
  <si>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</si>
  <si>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</si>
  <si>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</si>
  <si>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</si>
  <si>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</si>
  <si>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</si>
  <si>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</si>
  <si>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</si>
  <si>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</si>
  <si>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</si>
  <si>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</si>
  <si>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</si>
  <si>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</si>
  <si>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</si>
  <si>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</si>
  <si>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</si>
  <si>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</si>
  <si>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</si>
  <si>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</si>
  <si>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</si>
  <si>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</si>
  <si>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</si>
  <si>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</si>
  <si>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</si>
  <si>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</si>
  <si>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</si>
  <si>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</si>
  <si>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</si>
  <si>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</si>
  <si>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</si>
  <si>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</si>
  <si>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</si>
  <si>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</si>
  <si>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</si>
  <si>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</si>
  <si>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</si>
  <si>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</si>
  <si>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</si>
  <si>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</si>
  <si>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</si>
  <si>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</si>
  <si>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</si>
  <si>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</si>
  <si>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</si>
  <si>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</si>
  <si>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</si>
  <si>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</si>
  <si>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</si>
  <si>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</si>
  <si>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</si>
  <si>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</si>
  <si>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</si>
  <si>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</si>
  <si>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</si>
  <si>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</si>
  <si>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</si>
  <si>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</si>
  <si>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</si>
  <si>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</si>
  <si>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</si>
  <si>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</si>
  <si>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</si>
  <si>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</si>
  <si>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</si>
  <si>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</si>
  <si>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</si>
  <si>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</si>
  <si>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</si>
  <si>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</si>
  <si>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</si>
  <si>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</si>
  <si>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</si>
  <si>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</si>
  <si>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</si>
  <si>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</si>
  <si>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</si>
  <si>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</si>
  <si>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</si>
  <si>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</si>
  <si>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</si>
  <si>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</si>
  <si>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</si>
  <si>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</si>
  <si>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</si>
  <si>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</si>
  <si>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</si>
  <si>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</si>
  <si>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</si>
  <si>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</si>
  <si>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</si>
  <si>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</si>
  <si>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</si>
  <si>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</si>
  <si>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</si>
  <si>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</si>
  <si>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</si>
  <si>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</si>
  <si>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</si>
  <si>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</si>
  <si>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</si>
  <si>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</si>
  <si>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</si>
  <si>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</si>
  <si>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</si>
  <si>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</si>
  <si>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</si>
  <si>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</si>
  <si>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</si>
  <si>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</si>
  <si>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</si>
  <si>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</si>
  <si>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</si>
  <si>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</si>
  <si>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</si>
  <si>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</si>
  <si>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</si>
  <si>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</si>
  <si>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</si>
  <si>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</si>
  <si>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</si>
  <si>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</si>
  <si>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</si>
  <si>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</si>
  <si>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</si>
  <si>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</si>
  <si>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</si>
  <si>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</si>
  <si>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</si>
  <si>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</si>
  <si>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</si>
  <si>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</si>
  <si>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</si>
  <si>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</si>
  <si>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</si>
  <si>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</si>
  <si>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</si>
  <si>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</si>
  <si>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</si>
  <si>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</si>
  <si>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</si>
  <si>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</si>
  <si>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</si>
  <si>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</si>
  <si>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</si>
  <si>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</si>
  <si>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</si>
  <si>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</si>
  <si>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</si>
  <si>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</si>
  <si>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</si>
  <si>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</si>
  <si>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</si>
  <si>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</si>
  <si>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</si>
  <si>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</si>
  <si>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</si>
  <si>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</si>
  <si>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</si>
  <si>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</si>
  <si>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</si>
  <si>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</si>
  <si>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</si>
  <si>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</si>
  <si>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</si>
  <si>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</si>
  <si>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</si>
  <si>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</si>
  <si>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</si>
  <si>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</si>
  <si>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</si>
  <si>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</si>
  <si>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</si>
  <si>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</si>
  <si>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</si>
  <si>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</si>
  <si>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</si>
  <si>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</si>
  <si>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</si>
  <si>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</si>
  <si>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</si>
  <si>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</si>
  <si>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</si>
  <si>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</si>
  <si>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</si>
  <si>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</si>
  <si>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</si>
  <si>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</si>
  <si>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</si>
  <si>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</si>
  <si>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</si>
  <si>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</si>
  <si>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</si>
  <si>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</si>
  <si>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</si>
  <si>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</si>
  <si>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</si>
  <si>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</si>
  <si>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</si>
  <si>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</si>
  <si>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</si>
  <si>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</si>
  <si>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</si>
  <si>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</si>
  <si>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</si>
  <si>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</si>
  <si>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</si>
  <si>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</si>
  <si>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</si>
  <si>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</si>
  <si>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</si>
  <si>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</si>
  <si>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</si>
  <si>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</si>
  <si>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</si>
  <si>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</si>
  <si>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</si>
  <si>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</si>
  <si>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</si>
  <si>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</si>
  <si>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</si>
  <si>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</si>
  <si>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</si>
  <si>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</si>
  <si>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</si>
  <si>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</si>
  <si>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</si>
  <si>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</si>
  <si>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</si>
  <si>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</si>
  <si>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</si>
  <si>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</si>
  <si>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</si>
  <si>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</si>
  <si>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</si>
  <si>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</si>
  <si>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</si>
  <si>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</si>
  <si>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</si>
  <si>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</si>
  <si>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</si>
  <si>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</si>
  <si>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</si>
  <si>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</si>
  <si>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</si>
  <si>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</si>
  <si>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</si>
  <si>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</si>
  <si>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</si>
  <si>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</si>
  <si>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</si>
  <si>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</si>
  <si>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</si>
  <si>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</si>
  <si>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</si>
  <si>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</si>
  <si>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</si>
  <si>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</si>
  <si>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</si>
  <si>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</si>
  <si>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</si>
  <si>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</si>
  <si>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</si>
  <si>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</si>
  <si>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</si>
  <si>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</si>
  <si>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</si>
  <si>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</si>
  <si>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</si>
  <si>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</si>
  <si>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</si>
  <si>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</si>
  <si>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</si>
  <si>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</si>
  <si>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</si>
  <si>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</si>
  <si>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</si>
  <si>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</si>
  <si>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</si>
  <si>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</si>
  <si>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</si>
  <si>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</si>
  <si>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</si>
  <si>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</si>
  <si>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</si>
  <si>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</si>
  <si>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</si>
  <si>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</si>
  <si>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</si>
  <si>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</si>
  <si>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</si>
  <si>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</si>
  <si>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</si>
  <si>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</si>
  <si>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</si>
  <si>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</si>
  <si>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</si>
  <si>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</si>
  <si>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</si>
  <si>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</si>
  <si>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</si>
  <si>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</si>
  <si>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</si>
  <si>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</si>
  <si>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</si>
  <si>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</si>
  <si>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</si>
  <si>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</si>
  <si>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</si>
  <si>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</si>
  <si>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</si>
  <si>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</si>
  <si>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</si>
  <si>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</si>
  <si>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</si>
  <si>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</si>
  <si>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</si>
  <si>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</si>
  <si>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</si>
  <si>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</si>
  <si>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</si>
  <si>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</si>
  <si>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</si>
  <si>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</si>
  <si>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</si>
  <si>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</si>
  <si>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</si>
  <si>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</si>
  <si>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</si>
  <si>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</si>
  <si>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</si>
  <si>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</si>
  <si>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</si>
  <si>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</si>
  <si>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</si>
  <si>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</si>
  <si>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</si>
  <si>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</si>
  <si>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</si>
  <si>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</si>
  <si>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</si>
  <si>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</si>
  <si>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</si>
  <si>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</si>
  <si>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</si>
  <si>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</si>
  <si>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</si>
  <si>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</si>
  <si>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</si>
  <si>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</si>
  <si>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</si>
  <si>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</si>
  <si>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</si>
  <si>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</si>
  <si>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</si>
  <si>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</si>
  <si>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</si>
  <si>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</si>
  <si>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</si>
  <si>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</si>
  <si>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</si>
  <si>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</si>
  <si>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</si>
  <si>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</si>
  <si>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</si>
  <si>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</si>
  <si>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</si>
  <si>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</si>
  <si>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</si>
  <si>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</si>
  <si>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</si>
  <si>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</si>
  <si>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</si>
  <si>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</si>
  <si>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</si>
  <si>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</si>
  <si>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</si>
  <si>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</si>
  <si>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</si>
  <si>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</si>
  <si>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</si>
  <si>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</si>
  <si>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</si>
  <si>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</si>
  <si>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</si>
  <si>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</si>
  <si>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</si>
  <si>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</si>
  <si>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</si>
  <si>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</si>
  <si>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</si>
  <si>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</si>
  <si>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</si>
  <si>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</si>
  <si>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</si>
  <si>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</si>
  <si>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</si>
  <si>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</si>
  <si>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</si>
  <si>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</si>
  <si>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</si>
  <si>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</si>
  <si>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</si>
  <si>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</si>
  <si>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</si>
  <si>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</si>
  <si>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</si>
  <si>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</si>
  <si>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</si>
  <si>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</si>
  <si>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</si>
  <si>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</si>
  <si>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</si>
  <si>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</si>
  <si>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</si>
  <si>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</si>
  <si>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</si>
  <si>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</si>
  <si>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</si>
  <si>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</si>
  <si>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</si>
  <si>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</si>
  <si>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</si>
  <si>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</si>
  <si>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</si>
  <si>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</si>
  <si>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</si>
  <si>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</si>
  <si>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</si>
  <si>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</si>
  <si>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</si>
  <si>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</si>
  <si>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</si>
  <si>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</si>
  <si>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</si>
  <si>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</si>
  <si>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</si>
  <si>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</si>
  <si>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</si>
  <si>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</si>
  <si>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</si>
  <si>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</si>
  <si>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</si>
  <si>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</si>
  <si>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</si>
  <si>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</si>
  <si>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</si>
  <si>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</si>
  <si>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</si>
  <si>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</si>
  <si>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</si>
  <si>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</si>
  <si>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</si>
  <si>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</si>
  <si>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</si>
  <si>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</si>
  <si>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</si>
  <si>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</si>
  <si>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</si>
  <si>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</si>
  <si>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</si>
  <si>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</si>
  <si>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</si>
  <si>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</si>
  <si>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</si>
  <si>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</si>
  <si>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</si>
  <si>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</si>
  <si>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</si>
  <si>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</si>
  <si>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</si>
  <si>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</si>
  <si>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</si>
  <si>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</si>
  <si>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</si>
  <si>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</si>
  <si>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</si>
  <si>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</si>
  <si>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</si>
  <si>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</si>
  <si>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</si>
  <si>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</si>
  <si>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</si>
  <si>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</si>
  <si>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</si>
  <si>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</si>
  <si>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</si>
  <si>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</si>
  <si>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</si>
  <si>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</si>
  <si>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</si>
  <si>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</si>
  <si>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</si>
  <si>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</si>
  <si>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</si>
  <si>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</si>
  <si>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</si>
  <si>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</si>
  <si>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</si>
  <si>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</si>
  <si>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</si>
  <si>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</si>
  <si>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</si>
  <si>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</si>
  <si>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</si>
  <si>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</si>
  <si>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</si>
  <si>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</si>
  <si>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</si>
  <si>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</si>
  <si>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</si>
  <si>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</si>
  <si>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</si>
  <si>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</si>
  <si>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</si>
  <si>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</si>
  <si>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</si>
  <si>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</si>
  <si>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</si>
  <si>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</si>
  <si>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</si>
  <si>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</si>
  <si>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</si>
  <si>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</si>
  <si>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</si>
  <si>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</si>
  <si>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</si>
  <si>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</si>
  <si>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</si>
  <si>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</si>
  <si>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</si>
  <si>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</si>
  <si>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</si>
  <si>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</si>
  <si>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</si>
  <si>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</si>
  <si>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</si>
  <si>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</si>
  <si>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</si>
  <si>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</si>
  <si>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</si>
  <si>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</si>
  <si>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</si>
  <si>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</si>
  <si>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</si>
  <si>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</si>
  <si>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</si>
  <si>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</si>
  <si>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</si>
  <si>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</si>
  <si>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</si>
  <si>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</si>
  <si>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</si>
  <si>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</si>
  <si>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</si>
  <si>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</si>
  <si>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</si>
  <si>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</si>
  <si>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</si>
  <si>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</si>
  <si>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</si>
  <si>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</si>
  <si>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</si>
  <si>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</si>
  <si>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</si>
  <si>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</si>
  <si>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</si>
  <si>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</si>
  <si>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</si>
  <si>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</si>
  <si>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</si>
  <si>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</si>
  <si>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</si>
  <si>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</si>
  <si>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</si>
  <si>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</si>
  <si>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</si>
  <si>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</si>
  <si>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</si>
  <si>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</si>
  <si>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</si>
  <si>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</si>
  <si>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</si>
  <si>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</si>
  <si>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</si>
  <si>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</si>
  <si>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</si>
  <si>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</si>
  <si>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</si>
  <si>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</si>
  <si>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</si>
  <si>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</si>
  <si>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</si>
  <si>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</si>
  <si>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</si>
  <si>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</si>
  <si>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</si>
  <si>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</si>
  <si>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</si>
  <si>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</si>
  <si>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</si>
  <si>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</si>
  <si>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</si>
  <si>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</si>
  <si>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</si>
  <si>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</si>
  <si>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</si>
  <si>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</si>
  <si>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</si>
  <si>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</si>
  <si>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</si>
  <si>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</si>
  <si>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</si>
  <si>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</si>
  <si>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</si>
  <si>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</si>
  <si>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</si>
  <si>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</si>
  <si>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</si>
  <si>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</si>
  <si>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</si>
  <si>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</si>
  <si>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</si>
  <si>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</si>
  <si>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</si>
  <si>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</si>
  <si>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</si>
  <si>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</si>
  <si>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</si>
  <si>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</si>
  <si>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</si>
  <si>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</si>
  <si>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</si>
  <si>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</si>
  <si>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</si>
  <si>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</si>
  <si>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</si>
  <si>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</si>
  <si>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</si>
  <si>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</si>
  <si>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</si>
  <si>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</si>
  <si>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</si>
  <si>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</si>
  <si>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</si>
  <si>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</si>
  <si>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</si>
  <si>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</si>
  <si>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</si>
  <si>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</si>
  <si>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</si>
  <si>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</si>
  <si>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</si>
  <si>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</si>
  <si>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</si>
  <si>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</si>
  <si>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</si>
  <si>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</si>
  <si>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</si>
  <si>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</si>
  <si>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</si>
  <si>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</si>
  <si>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</si>
  <si>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</si>
  <si>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</si>
  <si>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</si>
  <si>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</si>
  <si>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</si>
  <si>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</si>
  <si>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</si>
  <si>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</si>
  <si>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</si>
  <si>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</si>
  <si>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</si>
  <si>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</si>
  <si>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</si>
  <si>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</si>
  <si>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</si>
  <si>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</si>
  <si>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</si>
  <si>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</si>
  <si>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</si>
  <si>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</si>
  <si>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</si>
  <si>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</si>
  <si>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</si>
  <si>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</si>
  <si>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</si>
  <si>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</si>
  <si>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</si>
  <si>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</si>
  <si>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</si>
  <si>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</si>
  <si>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</si>
  <si>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</si>
  <si>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</si>
  <si>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</si>
  <si>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</si>
  <si>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</si>
  <si>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</si>
  <si>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</si>
  <si>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</si>
  <si>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</si>
  <si>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</si>
  <si>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</si>
  <si>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</si>
  <si>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</si>
  <si>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</si>
  <si>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</si>
  <si>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</si>
  <si>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</si>
  <si>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</si>
  <si>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</si>
  <si>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</si>
  <si>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</si>
  <si>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</si>
  <si>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</si>
  <si>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</si>
  <si>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</si>
  <si>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</si>
  <si>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</si>
  <si>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</si>
  <si>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</si>
  <si>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</si>
  <si>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</si>
  <si>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</si>
  <si>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</si>
  <si>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</si>
  <si>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</si>
  <si>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</si>
  <si>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</si>
  <si>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</si>
  <si>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</si>
  <si>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</si>
  <si>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</si>
  <si>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</si>
  <si>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</si>
  <si>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</si>
  <si>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</si>
  <si>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</si>
  <si>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</si>
  <si>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</si>
  <si>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</si>
  <si>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</si>
  <si>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</si>
  <si>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</si>
  <si>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</si>
  <si>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</si>
  <si>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</si>
  <si>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</si>
  <si>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</si>
  <si>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</si>
  <si>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</si>
  <si>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</si>
  <si>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</si>
  <si>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</si>
  <si>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</si>
  <si>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</si>
  <si>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</si>
  <si>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</si>
  <si>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</si>
  <si>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</si>
  <si>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</si>
  <si>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</si>
  <si>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</si>
  <si>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</si>
  <si>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</si>
  <si>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</si>
  <si>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</si>
  <si>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</si>
  <si>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</si>
  <si>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</si>
  <si>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</si>
  <si>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</si>
  <si>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</si>
  <si>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</si>
  <si>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</si>
  <si>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</si>
  <si>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</si>
  <si>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</si>
  <si>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</si>
  <si>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</si>
  <si>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</si>
  <si>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</si>
  <si>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</si>
  <si>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</si>
  <si>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</si>
  <si>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</si>
  <si>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</si>
  <si>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</si>
  <si>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</si>
  <si>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</si>
  <si>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</si>
  <si>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</si>
  <si>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</si>
  <si>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</si>
  <si>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</si>
  <si>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</si>
  <si>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</si>
  <si>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</si>
  <si>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</si>
  <si>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</si>
  <si>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</si>
  <si>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</si>
  <si>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</si>
  <si>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</si>
  <si>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</si>
  <si>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</si>
  <si>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</si>
  <si>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</si>
  <si>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</si>
  <si>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</si>
  <si>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</si>
  <si>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</si>
  <si>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</si>
  <si>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</si>
  <si>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</si>
  <si>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</si>
  <si>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</si>
  <si>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</si>
  <si>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</si>
  <si>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</si>
  <si>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</si>
  <si>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</si>
  <si>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</si>
  <si>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</si>
  <si>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</si>
  <si>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</si>
  <si>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</si>
  <si>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</si>
  <si>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</si>
  <si>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</si>
  <si>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</si>
  <si>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</si>
  <si>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</si>
  <si>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</si>
  <si>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</si>
  <si>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</si>
  <si>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</si>
  <si>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</si>
  <si>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</si>
  <si>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</si>
  <si>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</si>
  <si>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</si>
  <si>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</si>
  <si>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</si>
  <si>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</si>
  <si>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</si>
  <si>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</si>
  <si>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</si>
  <si>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</si>
  <si>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</si>
  <si>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</si>
  <si>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</si>
  <si>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</si>
  <si>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</si>
  <si>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</si>
  <si>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</si>
  <si>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</si>
  <si>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</si>
  <si>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</si>
  <si>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</si>
  <si>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</si>
  <si>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</si>
  <si>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</si>
  <si>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</si>
  <si>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</si>
  <si>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</si>
  <si>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</si>
  <si>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</si>
  <si>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</si>
  <si>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</si>
  <si>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</si>
  <si>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</si>
  <si>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</si>
  <si>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</si>
  <si>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</si>
  <si>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</si>
  <si>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</si>
  <si>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</si>
  <si>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</si>
  <si>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</si>
  <si>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</si>
  <si>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</si>
  <si>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</si>
  <si>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</si>
  <si>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</si>
  <si>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</si>
  <si>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</si>
  <si>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</si>
  <si>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</si>
  <si>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</si>
  <si>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</si>
  <si>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</si>
  <si>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</si>
  <si>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</si>
  <si>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</si>
  <si>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</si>
  <si>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</si>
  <si>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</si>
  <si>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</si>
  <si>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</si>
  <si>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</si>
  <si>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</si>
  <si>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</si>
  <si>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</si>
  <si>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</si>
  <si>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</si>
  <si>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</si>
  <si>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</si>
  <si>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</si>
  <si>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</si>
  <si>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</si>
  <si>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</si>
  <si>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</si>
  <si>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</si>
  <si>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</si>
  <si>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</si>
  <si>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</si>
  <si>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</si>
  <si>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</si>
  <si>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</si>
  <si>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</si>
  <si>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</si>
  <si>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</si>
  <si>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</si>
  <si>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</si>
  <si>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</si>
  <si>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</si>
  <si>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</si>
  <si>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</si>
  <si>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</si>
  <si>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</si>
  <si>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</si>
  <si>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</si>
  <si>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</si>
  <si>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</si>
  <si>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</si>
  <si>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</si>
  <si>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</si>
  <si>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</si>
  <si>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</si>
  <si>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</si>
  <si>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</si>
  <si>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</si>
  <si>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</si>
  <si>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</si>
  <si>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</si>
  <si>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</si>
  <si>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</si>
  <si>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</si>
  <si>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</si>
  <si>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</si>
  <si>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</si>
  <si>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</si>
  <si>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</si>
  <si>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</si>
  <si>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</si>
  <si>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</si>
  <si>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</si>
  <si>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</si>
  <si>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</si>
  <si>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</si>
  <si>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</si>
  <si>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</si>
  <si>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</si>
  <si>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</si>
  <si>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</si>
  <si>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</si>
  <si>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</si>
  <si>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</si>
  <si>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</si>
  <si>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</si>
  <si>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</si>
  <si>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</si>
  <si>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</si>
  <si>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</si>
  <si>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</si>
  <si>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</si>
  <si>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</si>
  <si>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</si>
  <si>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</si>
  <si>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</si>
  <si>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</si>
  <si>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</si>
  <si>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</si>
  <si>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</si>
  <si>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</si>
  <si>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</si>
  <si>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</si>
  <si>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</si>
  <si>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</si>
  <si>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</si>
  <si>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</si>
  <si>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</si>
  <si>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</si>
  <si>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</si>
  <si>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</si>
  <si>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</si>
  <si>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</si>
  <si>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</si>
  <si>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</si>
  <si>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</si>
  <si>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</si>
  <si>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</si>
  <si>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</si>
  <si>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</si>
  <si>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</si>
  <si>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</si>
  <si>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</si>
  <si>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</si>
  <si>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</si>
  <si>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</si>
  <si>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</si>
  <si>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</si>
  <si>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</si>
  <si>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</si>
  <si>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</si>
  <si>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</si>
  <si>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</si>
  <si>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</si>
  <si>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</si>
  <si>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</si>
  <si>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</si>
  <si>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</si>
  <si>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</si>
  <si>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</si>
  <si>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</si>
  <si>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</si>
  <si>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</si>
  <si>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</si>
  <si>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</si>
  <si>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</si>
  <si>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</si>
  <si>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</si>
  <si>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</si>
  <si>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</si>
  <si>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197124</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</si>
  <si>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</si>
  <si>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</si>
  <si>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</si>
  <si>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</si>
  <si>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</si>
  <si>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</si>
  <si>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</si>
  <si>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</si>
  <si>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</si>
  <si>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</si>
  <si>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</si>
  <si>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</si>
  <si>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</si>
  <si>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</si>
  <si>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</si>
  <si>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ACTUALIZACIÓN DE LICENCIAMIENTO DE ANTIVIRUS INFORMÁTICO PARA EL INSTITUTO DE CASAS FISCALES DEL EJÉRCITO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</si>
  <si>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</si>
  <si>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</si>
  <si>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</si>
  <si>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</si>
  <si>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15.000.000</t>
  </si>
  <si>
    <t>219924</t>
  </si>
  <si>
    <t>DISPONIBLE</t>
  </si>
  <si>
    <t>VALOR SIN CDP</t>
  </si>
  <si>
    <t>113824</t>
  </si>
  <si>
    <t>222924</t>
  </si>
  <si>
    <t>223024</t>
  </si>
  <si>
    <t>223124</t>
  </si>
  <si>
    <t>17 MESES</t>
  </si>
  <si>
    <t>224224</t>
  </si>
  <si>
    <t>226824</t>
  </si>
  <si>
    <t>226724</t>
  </si>
  <si>
    <t>226624</t>
  </si>
  <si>
    <t>º</t>
  </si>
  <si>
    <t>Interventoría técnica, administrativa, financiera, contable, jurídica, ambiental y de seguridad y salud en el trabajo para la construcción de dos edificios de vivienda fiscal para el personal de suboficiales en la seccional de Tolemaida</t>
  </si>
  <si>
    <t>Construcción de dos edificios de vivienda fiscal para el Personal de suboficiales en la seccional de Tolemaida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</si>
</sst>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8"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b/>
      <sz val="10"/>
      <color theme="0"/>
      <name val="Arial"/>
      <family val="2"/>
    </font>
    <font>
      <sz val="14"/>
      <color theme="1"/>
      <name val="Arial"/>
      <family val="2"/>
    </font>
    <font>
      <b/>
      <sz val="9"/>
      <color indexed="81"/>
      <name val="Tahoma"/>
      <charset val="1"/>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24997711111789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53">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0" fontId="16" fillId="14" borderId="1" xfId="0" applyFont="1" applyFill="1" applyBorder="1" applyAlignment="1" applyProtection="1">
      <alignment vertical="center" wrapText="1"/>
      <protection locked="0"/>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171" fontId="35" fillId="7" borderId="17" xfId="2" applyNumberFormat="1" applyFont="1" applyFill="1" applyBorder="1" applyAlignment="1" applyProtection="1">
      <alignment horizontal="center" vertical="center" wrapText="1"/>
      <protection locked="0"/>
    </xf>
    <xf numFmtId="0" fontId="36" fillId="0" borderId="0" xfId="0" applyFont="1" applyProtection="1">
      <protection locked="0"/>
    </xf>
    <xf numFmtId="171" fontId="0" fillId="0" borderId="1" xfId="1" applyNumberFormat="1" applyFont="1" applyBorder="1" applyAlignment="1">
      <alignment horizontal="right"/>
    </xf>
    <xf numFmtId="171" fontId="0" fillId="30" borderId="1" xfId="1" applyNumberFormat="1" applyFont="1" applyFill="1" applyBorder="1" applyAlignment="1">
      <alignment horizontal="right"/>
    </xf>
    <xf numFmtId="171" fontId="0" fillId="12" borderId="1" xfId="1" applyNumberFormat="1" applyFont="1" applyFill="1" applyBorder="1" applyAlignment="1">
      <alignment horizontal="right"/>
    </xf>
    <xf numFmtId="171" fontId="2" fillId="36" borderId="1" xfId="1" applyNumberFormat="1" applyFont="1" applyFill="1" applyBorder="1" applyAlignment="1">
      <alignment horizontal="right"/>
    </xf>
    <xf numFmtId="171" fontId="0" fillId="0" borderId="0" xfId="1" applyNumberFormat="1" applyFont="1" applyBorder="1" applyAlignment="1">
      <alignment horizontal="right"/>
    </xf>
    <xf numFmtId="171" fontId="25" fillId="13" borderId="0" xfId="1" applyNumberFormat="1" applyFont="1" applyFill="1" applyBorder="1" applyAlignment="1">
      <alignment horizontal="left" wrapText="1"/>
    </xf>
    <xf numFmtId="171" fontId="16" fillId="23" borderId="1" xfId="1" applyNumberFormat="1" applyFont="1" applyFill="1" applyBorder="1" applyProtection="1">
      <protection locked="0"/>
    </xf>
    <xf numFmtId="4" fontId="28" fillId="7" borderId="17" xfId="1" applyNumberFormat="1" applyFont="1" applyFill="1" applyBorder="1" applyAlignment="1" applyProtection="1">
      <alignment horizontal="right" vertical="center" wrapText="1"/>
      <protection locked="0"/>
    </xf>
    <xf numFmtId="4" fontId="25" fillId="13" borderId="9" xfId="1" applyNumberFormat="1" applyFont="1" applyFill="1" applyBorder="1" applyAlignment="1" applyProtection="1">
      <alignment horizontal="right"/>
      <protection locked="0"/>
    </xf>
    <xf numFmtId="171" fontId="25" fillId="13" borderId="9" xfId="1" applyNumberFormat="1" applyFont="1" applyFill="1" applyBorder="1" applyProtection="1">
      <protection locked="0"/>
    </xf>
    <xf numFmtId="171" fontId="25" fillId="13" borderId="9" xfId="1" applyNumberFormat="1" applyFont="1" applyFill="1" applyBorder="1" applyAlignment="1" applyProtection="1">
      <alignment vertical="center"/>
      <protection locked="0"/>
    </xf>
    <xf numFmtId="171" fontId="25" fillId="34" borderId="9" xfId="1" applyNumberFormat="1" applyFont="1" applyFill="1" applyBorder="1" applyProtection="1">
      <protection locked="0"/>
    </xf>
    <xf numFmtId="171" fontId="25" fillId="35" borderId="9" xfId="1" applyNumberFormat="1" applyFont="1" applyFill="1" applyBorder="1" applyProtection="1">
      <protection locked="0"/>
    </xf>
    <xf numFmtId="4" fontId="16" fillId="13" borderId="9" xfId="0" applyNumberFormat="1" applyFont="1" applyFill="1" applyBorder="1" applyAlignment="1" applyProtection="1">
      <alignment horizontal="right" vertical="center"/>
      <protection locked="0"/>
    </xf>
    <xf numFmtId="4" fontId="27" fillId="13" borderId="9" xfId="1" applyNumberFormat="1" applyFont="1" applyFill="1" applyBorder="1" applyAlignment="1" applyProtection="1">
      <alignment horizontal="right"/>
      <protection locked="0"/>
    </xf>
    <xf numFmtId="171" fontId="25" fillId="13" borderId="9" xfId="1" applyNumberFormat="1" applyFont="1" applyFill="1" applyBorder="1" applyAlignment="1" applyProtection="1">
      <alignment horizontal="right"/>
      <protection locked="0"/>
    </xf>
    <xf numFmtId="0" fontId="16" fillId="25" borderId="9" xfId="0" applyFont="1" applyFill="1" applyBorder="1" applyProtection="1">
      <protection locked="0"/>
    </xf>
    <xf numFmtId="4" fontId="25" fillId="13" borderId="18" xfId="1" applyNumberFormat="1" applyFont="1" applyFill="1" applyBorder="1" applyAlignment="1">
      <alignment horizontal="right" wrapText="1"/>
    </xf>
    <xf numFmtId="171" fontId="28" fillId="7" borderId="1" xfId="2" applyNumberFormat="1" applyFont="1" applyFill="1" applyBorder="1" applyAlignment="1" applyProtection="1">
      <alignment horizontal="center" vertical="center" wrapText="1"/>
      <protection locked="0"/>
    </xf>
    <xf numFmtId="171" fontId="26" fillId="13" borderId="1" xfId="0" applyNumberFormat="1" applyFont="1" applyFill="1" applyBorder="1" applyProtection="1">
      <protection locked="0"/>
    </xf>
    <xf numFmtId="41" fontId="20" fillId="22" borderId="1" xfId="1" applyFont="1" applyFill="1" applyBorder="1" applyAlignment="1" applyProtection="1">
      <alignment horizontal="right" vertical="center" wrapText="1"/>
    </xf>
    <xf numFmtId="41" fontId="16" fillId="25" borderId="1" xfId="1" applyFont="1" applyFill="1" applyBorder="1" applyProtection="1">
      <protection locked="0"/>
    </xf>
    <xf numFmtId="171" fontId="26" fillId="32" borderId="1" xfId="0" applyNumberFormat="1" applyFont="1" applyFill="1" applyBorder="1" applyProtection="1">
      <protection locked="0"/>
    </xf>
    <xf numFmtId="43" fontId="16" fillId="0" borderId="0" xfId="1" applyNumberFormat="1" applyFont="1" applyAlignment="1" applyProtection="1">
      <alignment vertical="center"/>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0" fontId="16" fillId="0" borderId="7" xfId="0" applyFont="1" applyBorder="1" applyAlignment="1" applyProtection="1">
      <alignment horizont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B3253"/>
  <sheetViews>
    <sheetView showGridLines="0" tabSelected="1" topLeftCell="B1" zoomScale="70" zoomScaleNormal="70" zoomScaleSheetLayoutView="70" workbookViewId="0">
      <pane ySplit="6" topLeftCell="A7" activePane="bottomLeft" state="frozen"/>
      <selection activeCell="F1" sqref="F1"/>
      <selection pane="bottomLeft" activeCell="N265" sqref="N265"/>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3.140625" style="20" hidden="1" customWidth="1"/>
    <col min="22" max="23" width="30.5703125" style="325" hidden="1" customWidth="1"/>
    <col min="24" max="24" width="26.7109375" style="325" hidden="1" customWidth="1"/>
    <col min="25" max="25" width="10.42578125" style="353" hidden="1" customWidth="1"/>
    <col min="26" max="26" width="28.5703125" style="358" hidden="1" customWidth="1"/>
    <col min="27" max="27" width="27.28515625" style="20" hidden="1" customWidth="1"/>
    <col min="28" max="28" width="22.7109375" style="424" hidden="1" customWidth="1"/>
  </cols>
  <sheetData>
    <row r="1" spans="1:28" x14ac:dyDescent="0.25">
      <c r="B1" s="13"/>
      <c r="C1" s="13"/>
      <c r="D1" s="13"/>
      <c r="E1" s="13"/>
      <c r="F1" s="13"/>
      <c r="G1" s="13"/>
      <c r="H1" s="13"/>
      <c r="I1" s="13"/>
      <c r="J1" s="13"/>
      <c r="K1" s="13"/>
      <c r="L1" s="13"/>
      <c r="M1" s="13"/>
      <c r="N1" s="14"/>
      <c r="U1" s="16"/>
      <c r="V1" s="322"/>
      <c r="W1" s="322"/>
      <c r="X1" s="322"/>
      <c r="Y1" s="328"/>
      <c r="Z1" s="359"/>
      <c r="AA1" s="451"/>
      <c r="AB1" s="452"/>
    </row>
    <row r="2" spans="1:28" x14ac:dyDescent="0.25">
      <c r="B2" s="21" t="s">
        <v>113160</v>
      </c>
      <c r="C2" s="13"/>
      <c r="D2" s="13"/>
      <c r="E2" s="13"/>
      <c r="F2" s="13"/>
      <c r="G2" s="13"/>
      <c r="H2" s="13"/>
      <c r="I2" s="13"/>
      <c r="J2" s="13"/>
      <c r="K2" s="13"/>
      <c r="L2" s="13"/>
      <c r="M2" s="13"/>
      <c r="N2" s="14"/>
      <c r="U2" s="16"/>
      <c r="V2" s="322"/>
      <c r="W2" s="322"/>
      <c r="X2" s="322"/>
      <c r="Y2" s="328"/>
      <c r="Z2" s="359"/>
      <c r="AA2" s="451"/>
      <c r="AB2" s="452"/>
    </row>
    <row r="3" spans="1:28" x14ac:dyDescent="0.25">
      <c r="B3" s="21"/>
      <c r="C3" s="13"/>
      <c r="D3" s="13"/>
      <c r="E3" s="13"/>
      <c r="F3" s="13"/>
      <c r="G3" s="13"/>
      <c r="H3" s="13"/>
      <c r="I3" s="13"/>
      <c r="J3" s="13"/>
      <c r="K3" s="13"/>
      <c r="L3" s="13"/>
      <c r="M3" s="13"/>
      <c r="N3" s="14"/>
      <c r="U3" s="16"/>
      <c r="V3" s="322"/>
      <c r="W3" s="322"/>
      <c r="X3" s="322"/>
      <c r="Y3" s="328"/>
      <c r="Z3" s="359"/>
      <c r="AA3" s="451"/>
      <c r="AB3" s="452"/>
    </row>
    <row r="4" spans="1:28" x14ac:dyDescent="0.25">
      <c r="B4" s="21" t="s">
        <v>112983</v>
      </c>
      <c r="C4" s="13"/>
      <c r="D4" s="13"/>
      <c r="E4" s="13"/>
      <c r="F4" s="13"/>
      <c r="G4" s="13"/>
      <c r="H4" s="13"/>
      <c r="I4" s="13"/>
      <c r="J4" s="13"/>
      <c r="K4" s="13"/>
      <c r="L4" s="13"/>
      <c r="N4" s="14"/>
      <c r="S4" s="18"/>
      <c r="U4" s="16"/>
      <c r="V4" s="322"/>
      <c r="W4" s="322"/>
      <c r="X4" s="322"/>
      <c r="Y4" s="328"/>
      <c r="Z4" s="359"/>
      <c r="AA4" s="451"/>
      <c r="AB4" s="452"/>
    </row>
    <row r="5" spans="1:28" ht="16.5" thickBot="1" x14ac:dyDescent="0.3">
      <c r="B5" s="13"/>
      <c r="C5" s="13"/>
      <c r="D5" s="13"/>
      <c r="E5" s="13"/>
      <c r="F5" s="13"/>
      <c r="G5" s="13"/>
      <c r="H5" s="13"/>
      <c r="I5" s="13"/>
      <c r="J5" s="13"/>
      <c r="K5" s="13"/>
      <c r="L5" s="13"/>
      <c r="M5" s="13"/>
      <c r="N5" s="14"/>
      <c r="U5" s="16"/>
      <c r="V5" s="322"/>
      <c r="W5" s="322"/>
      <c r="X5" s="322"/>
      <c r="Y5" s="328"/>
      <c r="Z5" s="359"/>
      <c r="AA5" s="451"/>
      <c r="AB5" s="452"/>
    </row>
    <row r="6" spans="1:28"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113171</v>
      </c>
      <c r="S6" s="29" t="s">
        <v>113172</v>
      </c>
      <c r="T6" s="26" t="s">
        <v>112992</v>
      </c>
      <c r="U6" s="286" t="s">
        <v>113347</v>
      </c>
      <c r="V6" s="286" t="s">
        <v>113291</v>
      </c>
      <c r="W6" s="286" t="s">
        <v>113518</v>
      </c>
      <c r="X6" s="286" t="s">
        <v>113348</v>
      </c>
      <c r="Y6" s="329" t="s">
        <v>113346</v>
      </c>
      <c r="Z6" s="431" t="s">
        <v>113292</v>
      </c>
      <c r="AA6" s="442" t="s">
        <v>113293</v>
      </c>
      <c r="AB6" s="422" t="s">
        <v>113517</v>
      </c>
    </row>
    <row r="7" spans="1:28"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3">
        <f>+V8+V26</f>
        <v>7782449586.6999998</v>
      </c>
      <c r="W7" s="373">
        <f>R7-V7</f>
        <v>426550413.30000019</v>
      </c>
      <c r="X7" s="36">
        <f>+X8+X26</f>
        <v>754601524.29999995</v>
      </c>
      <c r="Y7" s="330"/>
      <c r="Z7" s="399">
        <f>+Z8+Z26</f>
        <v>7027848062.3999996</v>
      </c>
      <c r="AA7" s="36">
        <f>R7-Z7</f>
        <v>1181151937.6000004</v>
      </c>
    </row>
    <row r="8" spans="1:28"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74">
        <f>+V9</f>
        <v>379700000</v>
      </c>
      <c r="W8" s="374">
        <f t="shared" ref="W8:W71" si="0">R8-V8</f>
        <v>19000000</v>
      </c>
      <c r="X8" s="46">
        <f>+X9</f>
        <v>232276208</v>
      </c>
      <c r="Y8" s="331"/>
      <c r="Z8" s="400">
        <f>+Z9</f>
        <v>147423792</v>
      </c>
      <c r="AA8" s="46">
        <f t="shared" ref="AA8:AA71" si="1">R8-Z8</f>
        <v>251276208</v>
      </c>
    </row>
    <row r="9" spans="1:28"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75">
        <f>+V10+V18</f>
        <v>379700000</v>
      </c>
      <c r="W9" s="375">
        <f t="shared" si="0"/>
        <v>19000000</v>
      </c>
      <c r="X9" s="55">
        <f>+X10+X18</f>
        <v>232276208</v>
      </c>
      <c r="Y9" s="332"/>
      <c r="Z9" s="401">
        <f>+Z10+Z18</f>
        <v>147423792</v>
      </c>
      <c r="AA9" s="55">
        <f t="shared" si="1"/>
        <v>251276208</v>
      </c>
    </row>
    <row r="10" spans="1:28"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76">
        <f>+V11+V15</f>
        <v>240000000</v>
      </c>
      <c r="W10" s="376">
        <f t="shared" si="0"/>
        <v>19000000</v>
      </c>
      <c r="X10" s="65">
        <f>+X11+X15</f>
        <v>225660788</v>
      </c>
      <c r="Y10" s="333"/>
      <c r="Z10" s="402">
        <f>+Z11+Z15</f>
        <v>14339212</v>
      </c>
      <c r="AA10" s="65">
        <f t="shared" si="1"/>
        <v>244660788</v>
      </c>
    </row>
    <row r="11" spans="1:28"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119000000</v>
      </c>
      <c r="S11" s="74"/>
      <c r="T11" s="75"/>
      <c r="U11" s="71" t="s">
        <v>112994</v>
      </c>
      <c r="V11" s="377">
        <f>+V12</f>
        <v>100000000</v>
      </c>
      <c r="W11" s="377">
        <f t="shared" si="0"/>
        <v>19000000</v>
      </c>
      <c r="X11" s="73">
        <f>+X12</f>
        <v>100000000</v>
      </c>
      <c r="Y11" s="334"/>
      <c r="Z11" s="403">
        <f>+Z12</f>
        <v>0</v>
      </c>
      <c r="AA11" s="73">
        <f t="shared" si="1"/>
        <v>119000000</v>
      </c>
    </row>
    <row r="12" spans="1:28"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78">
        <f>SUM(V13:V14)</f>
        <v>100000000</v>
      </c>
      <c r="W12" s="378">
        <f t="shared" si="0"/>
        <v>19000000</v>
      </c>
      <c r="X12" s="81">
        <f>SUM(X13:X14)</f>
        <v>100000000</v>
      </c>
      <c r="Y12" s="335"/>
      <c r="Z12" s="404">
        <f>SUM(Z13:Z14)</f>
        <v>0</v>
      </c>
      <c r="AA12" s="81">
        <f t="shared" si="1"/>
        <v>119000000</v>
      </c>
    </row>
    <row r="13" spans="1:28" ht="45" customHeight="1" x14ac:dyDescent="0.25">
      <c r="B13" s="84"/>
      <c r="C13" s="85"/>
      <c r="D13" s="85"/>
      <c r="E13" s="85"/>
      <c r="F13" s="85"/>
      <c r="G13" s="85"/>
      <c r="H13" s="85"/>
      <c r="I13" s="85"/>
      <c r="J13" s="86"/>
      <c r="K13" s="86" t="s">
        <v>106245</v>
      </c>
      <c r="L13" s="87" t="s">
        <v>112995</v>
      </c>
      <c r="M13" s="88" t="s">
        <v>113256</v>
      </c>
      <c r="N13" s="89">
        <v>45474</v>
      </c>
      <c r="O13" s="89" t="s">
        <v>112996</v>
      </c>
      <c r="P13" s="90" t="s">
        <v>113296</v>
      </c>
      <c r="Q13" s="90" t="s">
        <v>112998</v>
      </c>
      <c r="R13" s="94">
        <v>100000000</v>
      </c>
      <c r="S13" s="92"/>
      <c r="T13" s="93" t="s">
        <v>112999</v>
      </c>
      <c r="U13" s="275">
        <v>83624</v>
      </c>
      <c r="V13" s="276">
        <v>100000000</v>
      </c>
      <c r="W13" s="276">
        <f t="shared" si="0"/>
        <v>0</v>
      </c>
      <c r="X13" s="276">
        <f>V13-Z13</f>
        <v>100000000</v>
      </c>
      <c r="Y13" s="340"/>
      <c r="Z13" s="432"/>
      <c r="AA13" s="443">
        <f t="shared" si="1"/>
        <v>100000000</v>
      </c>
    </row>
    <row r="14" spans="1:28" ht="42" customHeight="1" x14ac:dyDescent="0.25">
      <c r="B14" s="84"/>
      <c r="C14" s="85"/>
      <c r="D14" s="85"/>
      <c r="E14" s="85"/>
      <c r="F14" s="85"/>
      <c r="G14" s="85"/>
      <c r="H14" s="85"/>
      <c r="I14" s="85"/>
      <c r="J14" s="86"/>
      <c r="K14" s="86" t="s">
        <v>106245</v>
      </c>
      <c r="L14" s="87" t="s">
        <v>113294</v>
      </c>
      <c r="M14" s="95" t="s">
        <v>113241</v>
      </c>
      <c r="N14" s="89">
        <v>45474</v>
      </c>
      <c r="O14" s="89" t="s">
        <v>112996</v>
      </c>
      <c r="P14" s="90" t="s">
        <v>113133</v>
      </c>
      <c r="Q14" s="90" t="s">
        <v>113050</v>
      </c>
      <c r="R14" s="94">
        <f>35000000-16000000</f>
        <v>19000000</v>
      </c>
      <c r="S14" s="92"/>
      <c r="T14" s="93" t="s">
        <v>113002</v>
      </c>
      <c r="U14" s="277"/>
      <c r="V14" s="276"/>
      <c r="W14" s="276">
        <f t="shared" si="0"/>
        <v>19000000</v>
      </c>
      <c r="X14" s="276">
        <f>V14-Z14</f>
        <v>0</v>
      </c>
      <c r="Y14" s="340"/>
      <c r="Z14" s="432"/>
      <c r="AA14" s="443">
        <f t="shared" si="1"/>
        <v>19000000</v>
      </c>
    </row>
    <row r="15" spans="1:28"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140000000</v>
      </c>
      <c r="S15" s="74"/>
      <c r="T15" s="75"/>
      <c r="U15" s="71" t="s">
        <v>112994</v>
      </c>
      <c r="V15" s="377">
        <f t="shared" ref="V15:X16" si="2">+V16</f>
        <v>140000000</v>
      </c>
      <c r="W15" s="377">
        <f t="shared" si="0"/>
        <v>0</v>
      </c>
      <c r="X15" s="73">
        <f t="shared" si="2"/>
        <v>125660788</v>
      </c>
      <c r="Y15" s="334"/>
      <c r="Z15" s="403">
        <f>+Z16</f>
        <v>14339212</v>
      </c>
      <c r="AA15" s="73">
        <f t="shared" si="1"/>
        <v>125660788</v>
      </c>
    </row>
    <row r="16" spans="1:28"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78">
        <f t="shared" si="2"/>
        <v>140000000</v>
      </c>
      <c r="W16" s="378">
        <f t="shared" si="0"/>
        <v>0</v>
      </c>
      <c r="X16" s="81">
        <f t="shared" si="2"/>
        <v>125660788</v>
      </c>
      <c r="Y16" s="335"/>
      <c r="Z16" s="404">
        <f>+Z17</f>
        <v>14339212</v>
      </c>
      <c r="AA16" s="81">
        <f t="shared" si="1"/>
        <v>125660788</v>
      </c>
    </row>
    <row r="17" spans="1:27" ht="42.75" customHeight="1" x14ac:dyDescent="0.25">
      <c r="B17" s="84"/>
      <c r="C17" s="85"/>
      <c r="D17" s="85"/>
      <c r="E17" s="85"/>
      <c r="F17" s="85"/>
      <c r="G17" s="85"/>
      <c r="H17" s="85"/>
      <c r="I17" s="85"/>
      <c r="J17" s="86"/>
      <c r="K17" s="86" t="s">
        <v>106263</v>
      </c>
      <c r="L17" s="51">
        <v>43211500</v>
      </c>
      <c r="M17" s="97" t="s">
        <v>113333</v>
      </c>
      <c r="N17" s="89">
        <v>45536</v>
      </c>
      <c r="O17" s="89" t="s">
        <v>113074</v>
      </c>
      <c r="P17" s="90" t="s">
        <v>113005</v>
      </c>
      <c r="Q17" s="90" t="s">
        <v>113006</v>
      </c>
      <c r="R17" s="395">
        <f>100000000+40000000</f>
        <v>140000000</v>
      </c>
      <c r="S17" s="98"/>
      <c r="T17" s="93" t="s">
        <v>113002</v>
      </c>
      <c r="U17" s="275">
        <v>58524</v>
      </c>
      <c r="V17" s="276">
        <f>100000000+40000000</f>
        <v>140000000</v>
      </c>
      <c r="W17" s="276">
        <f t="shared" si="0"/>
        <v>0</v>
      </c>
      <c r="X17" s="276">
        <f>V17-Z17</f>
        <v>125660788</v>
      </c>
      <c r="Y17" s="340" t="s">
        <v>113489</v>
      </c>
      <c r="Z17" s="432">
        <v>14339212</v>
      </c>
      <c r="AA17" s="443">
        <f t="shared" si="1"/>
        <v>125660788</v>
      </c>
    </row>
    <row r="18" spans="1:27"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76">
        <f t="shared" ref="V18:X21" si="3">+V19</f>
        <v>139700000</v>
      </c>
      <c r="W18" s="376">
        <f t="shared" si="0"/>
        <v>0</v>
      </c>
      <c r="X18" s="65">
        <f t="shared" si="3"/>
        <v>6615420</v>
      </c>
      <c r="Y18" s="333"/>
      <c r="Z18" s="402">
        <f>+Z19</f>
        <v>133084580</v>
      </c>
      <c r="AA18" s="65">
        <f t="shared" si="1"/>
        <v>6615420</v>
      </c>
    </row>
    <row r="19" spans="1:27"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139700000</v>
      </c>
      <c r="S19" s="74"/>
      <c r="T19" s="75"/>
      <c r="U19" s="71" t="s">
        <v>112994</v>
      </c>
      <c r="V19" s="377">
        <f t="shared" si="3"/>
        <v>139700000</v>
      </c>
      <c r="W19" s="377">
        <f t="shared" si="0"/>
        <v>0</v>
      </c>
      <c r="X19" s="73">
        <f t="shared" si="3"/>
        <v>6615420</v>
      </c>
      <c r="Y19" s="334"/>
      <c r="Z19" s="403">
        <f>+Z20</f>
        <v>133084580</v>
      </c>
      <c r="AA19" s="73">
        <f t="shared" si="1"/>
        <v>6615420</v>
      </c>
    </row>
    <row r="20" spans="1:27"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78">
        <f t="shared" si="3"/>
        <v>139700000</v>
      </c>
      <c r="W20" s="378">
        <f t="shared" si="0"/>
        <v>0</v>
      </c>
      <c r="X20" s="81">
        <f t="shared" si="3"/>
        <v>6615420</v>
      </c>
      <c r="Y20" s="335"/>
      <c r="Z20" s="404">
        <f>+Z21</f>
        <v>133084580</v>
      </c>
      <c r="AA20" s="81">
        <f t="shared" si="1"/>
        <v>6615420</v>
      </c>
    </row>
    <row r="21" spans="1:27"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78">
        <f t="shared" si="3"/>
        <v>139700000</v>
      </c>
      <c r="W21" s="378">
        <f t="shared" si="0"/>
        <v>0</v>
      </c>
      <c r="X21" s="81">
        <f t="shared" si="3"/>
        <v>6615420</v>
      </c>
      <c r="Y21" s="335"/>
      <c r="Z21" s="404">
        <f>+Z22</f>
        <v>133084580</v>
      </c>
      <c r="AA21" s="81">
        <f t="shared" si="1"/>
        <v>6615420</v>
      </c>
    </row>
    <row r="22" spans="1:27"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78">
        <f>SUM(V23:V25)</f>
        <v>139700000</v>
      </c>
      <c r="W22" s="378">
        <f t="shared" si="0"/>
        <v>0</v>
      </c>
      <c r="X22" s="81">
        <f>SUM(X23:X25)</f>
        <v>6615420</v>
      </c>
      <c r="Y22" s="335"/>
      <c r="Z22" s="404">
        <f>SUM(Z23:Z25)</f>
        <v>133084580</v>
      </c>
      <c r="AA22" s="81">
        <f t="shared" si="1"/>
        <v>6615420</v>
      </c>
    </row>
    <row r="23" spans="1:27" ht="103.5" customHeight="1" x14ac:dyDescent="0.25">
      <c r="B23" s="84"/>
      <c r="C23" s="85"/>
      <c r="D23" s="85"/>
      <c r="E23" s="85"/>
      <c r="F23" s="85"/>
      <c r="G23" s="85"/>
      <c r="H23" s="85"/>
      <c r="I23" s="85"/>
      <c r="J23" s="86"/>
      <c r="K23" s="86" t="s">
        <v>106387</v>
      </c>
      <c r="L23" s="51">
        <v>43231500</v>
      </c>
      <c r="M23" s="88" t="s">
        <v>113339</v>
      </c>
      <c r="N23" s="89">
        <v>45496</v>
      </c>
      <c r="O23" s="89" t="s">
        <v>112996</v>
      </c>
      <c r="P23" s="90" t="s">
        <v>113133</v>
      </c>
      <c r="Q23" s="90" t="s">
        <v>113051</v>
      </c>
      <c r="R23" s="91">
        <f>79700000+60000000</f>
        <v>139700000</v>
      </c>
      <c r="S23" s="92"/>
      <c r="T23" s="93" t="s">
        <v>113002</v>
      </c>
      <c r="U23" s="275">
        <v>67824</v>
      </c>
      <c r="V23" s="276">
        <v>139700000</v>
      </c>
      <c r="W23" s="276">
        <f t="shared" si="0"/>
        <v>0</v>
      </c>
      <c r="X23" s="276">
        <f>V23-Z23</f>
        <v>6615420</v>
      </c>
      <c r="Y23" s="340" t="s">
        <v>113461</v>
      </c>
      <c r="Z23" s="432">
        <v>133084580</v>
      </c>
      <c r="AA23" s="443">
        <f t="shared" si="1"/>
        <v>6615420</v>
      </c>
    </row>
    <row r="24" spans="1:27" ht="43.5" customHeight="1" x14ac:dyDescent="0.25">
      <c r="B24" s="84"/>
      <c r="C24" s="85"/>
      <c r="D24" s="85"/>
      <c r="E24" s="85"/>
      <c r="F24" s="85"/>
      <c r="G24" s="85"/>
      <c r="H24" s="85"/>
      <c r="I24" s="85"/>
      <c r="J24" s="86"/>
      <c r="K24" s="86" t="s">
        <v>106387</v>
      </c>
      <c r="L24" s="51">
        <v>43231500</v>
      </c>
      <c r="M24" s="88" t="s">
        <v>113007</v>
      </c>
      <c r="N24" s="89">
        <v>45443</v>
      </c>
      <c r="O24" s="89" t="s">
        <v>113167</v>
      </c>
      <c r="P24" s="90" t="s">
        <v>113026</v>
      </c>
      <c r="Q24" s="90" t="s">
        <v>112998</v>
      </c>
      <c r="R24" s="91">
        <f>79700000-79700000</f>
        <v>0</v>
      </c>
      <c r="S24" s="92"/>
      <c r="T24" s="93" t="s">
        <v>113010</v>
      </c>
      <c r="U24" s="277"/>
      <c r="V24" s="276"/>
      <c r="W24" s="276">
        <f t="shared" si="0"/>
        <v>0</v>
      </c>
      <c r="X24" s="276">
        <f>V24-Z24</f>
        <v>0</v>
      </c>
      <c r="Y24" s="340"/>
      <c r="Z24" s="432"/>
      <c r="AA24" s="443">
        <f t="shared" si="1"/>
        <v>0</v>
      </c>
    </row>
    <row r="25" spans="1:27" ht="98.25" customHeight="1" x14ac:dyDescent="0.25">
      <c r="A25" s="423"/>
      <c r="B25" s="84"/>
      <c r="C25" s="85"/>
      <c r="D25" s="85"/>
      <c r="E25" s="85"/>
      <c r="F25" s="85"/>
      <c r="G25" s="85"/>
      <c r="H25" s="85"/>
      <c r="I25" s="85"/>
      <c r="J25" s="86"/>
      <c r="K25" s="86"/>
      <c r="L25" s="51">
        <v>43231500</v>
      </c>
      <c r="M25" s="88" t="s">
        <v>113284</v>
      </c>
      <c r="N25" s="89">
        <v>45474</v>
      </c>
      <c r="O25" s="89" t="s">
        <v>112996</v>
      </c>
      <c r="P25" s="90" t="s">
        <v>113133</v>
      </c>
      <c r="Q25" s="90" t="s">
        <v>112998</v>
      </c>
      <c r="R25" s="94">
        <f>60000000-60000000</f>
        <v>0</v>
      </c>
      <c r="S25" s="92"/>
      <c r="T25" s="93" t="s">
        <v>113090</v>
      </c>
      <c r="U25" s="277"/>
      <c r="V25" s="276"/>
      <c r="W25" s="276">
        <f t="shared" si="0"/>
        <v>0</v>
      </c>
      <c r="X25" s="276">
        <f>V25-Z25</f>
        <v>0</v>
      </c>
      <c r="Y25" s="340"/>
      <c r="Z25" s="432"/>
      <c r="AA25" s="443">
        <f t="shared" si="1"/>
        <v>0</v>
      </c>
    </row>
    <row r="26" spans="1:27"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74">
        <f>+V27+V94</f>
        <v>7402749586.6999998</v>
      </c>
      <c r="W26" s="374">
        <f t="shared" si="0"/>
        <v>407550413.30000019</v>
      </c>
      <c r="X26" s="46">
        <f>+X27+X94</f>
        <v>522325316.30000001</v>
      </c>
      <c r="Y26" s="331"/>
      <c r="Z26" s="400">
        <f>+Z27+Z94</f>
        <v>6880424270.3999996</v>
      </c>
      <c r="AA26" s="46">
        <f t="shared" si="1"/>
        <v>929875729.60000038</v>
      </c>
    </row>
    <row r="27" spans="1:27"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75">
        <f>+V28+V32+V45+V72</f>
        <v>1083826593</v>
      </c>
      <c r="W27" s="375">
        <f t="shared" si="0"/>
        <v>54511907</v>
      </c>
      <c r="X27" s="55">
        <f>+X28+X32+X45+X72</f>
        <v>212597035.80000001</v>
      </c>
      <c r="Y27" s="332"/>
      <c r="Z27" s="401">
        <f>+Z28+Z32+Z45+Z72</f>
        <v>871229557.20000005</v>
      </c>
      <c r="AA27" s="55">
        <f t="shared" si="1"/>
        <v>267108942.79999995</v>
      </c>
    </row>
    <row r="28" spans="1:27"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76">
        <f t="shared" ref="V28:X29" si="4">+V29</f>
        <v>5000000</v>
      </c>
      <c r="W28" s="376">
        <f t="shared" si="0"/>
        <v>0</v>
      </c>
      <c r="X28" s="65">
        <f t="shared" si="4"/>
        <v>0</v>
      </c>
      <c r="Y28" s="333"/>
      <c r="Z28" s="402">
        <f>+Z29</f>
        <v>5000000</v>
      </c>
      <c r="AA28" s="65">
        <f t="shared" si="1"/>
        <v>0</v>
      </c>
    </row>
    <row r="29" spans="1:27"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77">
        <f t="shared" si="4"/>
        <v>5000000</v>
      </c>
      <c r="W29" s="377">
        <f t="shared" si="0"/>
        <v>0</v>
      </c>
      <c r="X29" s="73">
        <f t="shared" si="4"/>
        <v>0</v>
      </c>
      <c r="Y29" s="334"/>
      <c r="Z29" s="403">
        <f>+Z30</f>
        <v>5000000</v>
      </c>
      <c r="AA29" s="73">
        <f t="shared" si="1"/>
        <v>0</v>
      </c>
    </row>
    <row r="30" spans="1:27" x14ac:dyDescent="0.25">
      <c r="B30" s="100" t="s">
        <v>105516</v>
      </c>
      <c r="C30" s="100" t="s">
        <v>105573</v>
      </c>
      <c r="D30" s="100" t="s">
        <v>105573</v>
      </c>
      <c r="E30" s="100" t="s">
        <v>105520</v>
      </c>
      <c r="F30" s="100" t="s">
        <v>106438</v>
      </c>
      <c r="G30" s="100" t="s">
        <v>105528</v>
      </c>
      <c r="H30" s="100" t="s">
        <v>106100</v>
      </c>
      <c r="I30" s="100"/>
      <c r="J30" s="100"/>
      <c r="K30" s="101"/>
      <c r="L30" s="102"/>
      <c r="M30" s="103" t="s">
        <v>113304</v>
      </c>
      <c r="N30" s="104"/>
      <c r="O30" s="104"/>
      <c r="P30" s="105"/>
      <c r="Q30" s="105"/>
      <c r="R30" s="106">
        <f>+R31</f>
        <v>5000000</v>
      </c>
      <c r="S30" s="107"/>
      <c r="T30" s="96"/>
      <c r="U30" s="104"/>
      <c r="V30" s="379">
        <f>+V31</f>
        <v>5000000</v>
      </c>
      <c r="W30" s="379">
        <f t="shared" si="0"/>
        <v>0</v>
      </c>
      <c r="X30" s="106">
        <f>+X31</f>
        <v>0</v>
      </c>
      <c r="Y30" s="336"/>
      <c r="Z30" s="405">
        <f>+Z31</f>
        <v>5000000</v>
      </c>
      <c r="AA30" s="106">
        <f t="shared" si="1"/>
        <v>0</v>
      </c>
    </row>
    <row r="31" spans="1:27"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v>5000000</v>
      </c>
      <c r="W31" s="276">
        <f t="shared" si="0"/>
        <v>0</v>
      </c>
      <c r="X31" s="276">
        <f>V31-Z31</f>
        <v>0</v>
      </c>
      <c r="Y31" s="340" t="s">
        <v>113481</v>
      </c>
      <c r="Z31" s="432">
        <v>5000000</v>
      </c>
      <c r="AA31" s="443">
        <f t="shared" si="1"/>
        <v>0</v>
      </c>
    </row>
    <row r="32" spans="1:27"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375575360</v>
      </c>
      <c r="S32" s="66"/>
      <c r="T32" s="67"/>
      <c r="U32" s="63" t="s">
        <v>112994</v>
      </c>
      <c r="V32" s="376">
        <f>+V33+V38+V42</f>
        <v>375575360</v>
      </c>
      <c r="W32" s="376">
        <f t="shared" si="0"/>
        <v>0</v>
      </c>
      <c r="X32" s="65">
        <f>+X33+X38+X42</f>
        <v>46941406.629999995</v>
      </c>
      <c r="Y32" s="333"/>
      <c r="Z32" s="402">
        <f>+Z33+Z38+Z42</f>
        <v>328633953.37</v>
      </c>
      <c r="AA32" s="65">
        <f t="shared" si="1"/>
        <v>46941406.629999995</v>
      </c>
    </row>
    <row r="33" spans="2:27"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77">
        <f>+V34+V36</f>
        <v>18000000</v>
      </c>
      <c r="W33" s="377">
        <f t="shared" si="0"/>
        <v>0</v>
      </c>
      <c r="X33" s="73">
        <f>+X34+X36</f>
        <v>0</v>
      </c>
      <c r="Y33" s="334"/>
      <c r="Z33" s="403">
        <f>+Z34+Z36</f>
        <v>18000000</v>
      </c>
      <c r="AA33" s="73">
        <f t="shared" si="1"/>
        <v>0</v>
      </c>
    </row>
    <row r="34" spans="2:27" x14ac:dyDescent="0.25">
      <c r="B34" s="76" t="s">
        <v>105516</v>
      </c>
      <c r="C34" s="76" t="s">
        <v>105573</v>
      </c>
      <c r="D34" s="76" t="s">
        <v>105573</v>
      </c>
      <c r="E34" s="76" t="s">
        <v>105520</v>
      </c>
      <c r="F34" s="76" t="s">
        <v>105535</v>
      </c>
      <c r="G34" s="76" t="s">
        <v>105538</v>
      </c>
      <c r="H34" s="76" t="s">
        <v>105924</v>
      </c>
      <c r="I34" s="76"/>
      <c r="J34" s="76"/>
      <c r="K34" s="76"/>
      <c r="L34" s="76"/>
      <c r="M34" s="78" t="s">
        <v>113305</v>
      </c>
      <c r="N34" s="79"/>
      <c r="O34" s="79"/>
      <c r="P34" s="80"/>
      <c r="Q34" s="80"/>
      <c r="R34" s="81">
        <f>+R35</f>
        <v>9000000</v>
      </c>
      <c r="S34" s="82"/>
      <c r="T34" s="96"/>
      <c r="U34" s="79"/>
      <c r="V34" s="378">
        <f>+V35</f>
        <v>9000000</v>
      </c>
      <c r="W34" s="378">
        <f t="shared" si="0"/>
        <v>0</v>
      </c>
      <c r="X34" s="81">
        <f>+X35</f>
        <v>0</v>
      </c>
      <c r="Y34" s="335"/>
      <c r="Z34" s="404">
        <f>+Z35</f>
        <v>9000000</v>
      </c>
      <c r="AA34" s="81">
        <f t="shared" si="1"/>
        <v>0</v>
      </c>
    </row>
    <row r="35" spans="2:27"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v>9000000</v>
      </c>
      <c r="W35" s="276">
        <f t="shared" si="0"/>
        <v>0</v>
      </c>
      <c r="X35" s="276">
        <f>V35-Z35</f>
        <v>0</v>
      </c>
      <c r="Y35" s="340" t="s">
        <v>113481</v>
      </c>
      <c r="Z35" s="432">
        <v>9000000</v>
      </c>
      <c r="AA35" s="443">
        <f t="shared" si="1"/>
        <v>0</v>
      </c>
    </row>
    <row r="36" spans="2:27"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78">
        <f>+V37</f>
        <v>9000000</v>
      </c>
      <c r="W36" s="378">
        <f t="shared" si="0"/>
        <v>0</v>
      </c>
      <c r="X36" s="81">
        <f>+X37</f>
        <v>0</v>
      </c>
      <c r="Y36" s="335"/>
      <c r="Z36" s="404">
        <f>+Z37</f>
        <v>9000000</v>
      </c>
      <c r="AA36" s="81">
        <f t="shared" si="1"/>
        <v>0</v>
      </c>
    </row>
    <row r="37" spans="2:27"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 t="shared" si="0"/>
        <v>0</v>
      </c>
      <c r="X37" s="276">
        <f>V37-Z37</f>
        <v>0</v>
      </c>
      <c r="Y37" s="340" t="s">
        <v>113481</v>
      </c>
      <c r="Z37" s="432">
        <v>9000000</v>
      </c>
      <c r="AA37" s="443">
        <f t="shared" si="1"/>
        <v>0</v>
      </c>
    </row>
    <row r="38" spans="2:27"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77">
        <f>SUM(V39:V41)</f>
        <v>57575360</v>
      </c>
      <c r="W38" s="377">
        <f t="shared" si="0"/>
        <v>0</v>
      </c>
      <c r="X38" s="73">
        <f>SUM(X39:X41)</f>
        <v>6577993</v>
      </c>
      <c r="Y38" s="334"/>
      <c r="Z38" s="403">
        <f>SUM(Z39:Z41)</f>
        <v>50997367</v>
      </c>
      <c r="AA38" s="73">
        <f t="shared" si="1"/>
        <v>6577993</v>
      </c>
    </row>
    <row r="39" spans="2:27"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v>800000</v>
      </c>
      <c r="W39" s="276">
        <f t="shared" si="0"/>
        <v>0</v>
      </c>
      <c r="X39" s="276">
        <f>V39-Z39</f>
        <v>0</v>
      </c>
      <c r="Y39" s="340" t="s">
        <v>113481</v>
      </c>
      <c r="Z39" s="432">
        <v>800000</v>
      </c>
      <c r="AA39" s="443">
        <f t="shared" si="1"/>
        <v>0</v>
      </c>
    </row>
    <row r="40" spans="2:27" ht="60" x14ac:dyDescent="0.25">
      <c r="B40" s="84"/>
      <c r="C40" s="85"/>
      <c r="D40" s="85"/>
      <c r="E40" s="85"/>
      <c r="F40" s="85"/>
      <c r="G40" s="85"/>
      <c r="H40" s="85"/>
      <c r="I40" s="85"/>
      <c r="J40" s="86"/>
      <c r="K40" s="86"/>
      <c r="L40" s="87" t="s">
        <v>113457</v>
      </c>
      <c r="M40" s="97" t="s">
        <v>113458</v>
      </c>
      <c r="N40" s="89">
        <v>45536</v>
      </c>
      <c r="O40" s="89" t="s">
        <v>113074</v>
      </c>
      <c r="P40" s="90" t="s">
        <v>113043</v>
      </c>
      <c r="Q40" s="90" t="s">
        <v>113050</v>
      </c>
      <c r="R40" s="91">
        <f>9714000-2938640</f>
        <v>6775360</v>
      </c>
      <c r="S40" s="92"/>
      <c r="T40" s="93" t="s">
        <v>113017</v>
      </c>
      <c r="U40" s="275">
        <v>81424</v>
      </c>
      <c r="V40" s="276">
        <v>6775360</v>
      </c>
      <c r="W40" s="276">
        <f t="shared" si="0"/>
        <v>0</v>
      </c>
      <c r="X40" s="276">
        <f>V40-Z40</f>
        <v>35360</v>
      </c>
      <c r="Y40" s="340" t="s">
        <v>113526</v>
      </c>
      <c r="Z40" s="432">
        <v>6740000</v>
      </c>
      <c r="AA40" s="443">
        <f t="shared" si="1"/>
        <v>35360</v>
      </c>
    </row>
    <row r="41" spans="2:27" ht="54" customHeight="1" x14ac:dyDescent="0.25">
      <c r="B41" s="84"/>
      <c r="C41" s="85"/>
      <c r="D41" s="85"/>
      <c r="E41" s="85"/>
      <c r="F41" s="85"/>
      <c r="G41" s="85"/>
      <c r="H41" s="85"/>
      <c r="I41" s="85"/>
      <c r="J41" s="86"/>
      <c r="K41" s="86" t="s">
        <v>106580</v>
      </c>
      <c r="L41" s="87" t="s">
        <v>113204</v>
      </c>
      <c r="M41" s="97" t="s">
        <v>113015</v>
      </c>
      <c r="N41" s="89">
        <v>45474</v>
      </c>
      <c r="O41" s="89" t="s">
        <v>112996</v>
      </c>
      <c r="P41" s="90" t="s">
        <v>113133</v>
      </c>
      <c r="Q41" s="90" t="s">
        <v>112998</v>
      </c>
      <c r="R41" s="94">
        <v>50000000</v>
      </c>
      <c r="S41" s="92"/>
      <c r="T41" s="93" t="s">
        <v>113017</v>
      </c>
      <c r="U41" s="275">
        <v>59624</v>
      </c>
      <c r="V41" s="276">
        <v>50000000</v>
      </c>
      <c r="W41" s="276">
        <f t="shared" si="0"/>
        <v>0</v>
      </c>
      <c r="X41" s="276">
        <f>V41-Z41</f>
        <v>6542633</v>
      </c>
      <c r="Y41" s="340" t="s">
        <v>113496</v>
      </c>
      <c r="Z41" s="432">
        <v>43457367</v>
      </c>
      <c r="AA41" s="443">
        <f t="shared" si="1"/>
        <v>6542633</v>
      </c>
    </row>
    <row r="42" spans="2:27"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300000000</v>
      </c>
      <c r="S42" s="74"/>
      <c r="T42" s="75"/>
      <c r="U42" s="71" t="s">
        <v>112994</v>
      </c>
      <c r="V42" s="377">
        <f>SUM(V43:V44)</f>
        <v>300000000</v>
      </c>
      <c r="W42" s="377">
        <f t="shared" si="0"/>
        <v>0</v>
      </c>
      <c r="X42" s="73">
        <f>SUM(X43:X44)</f>
        <v>40363413.629999995</v>
      </c>
      <c r="Y42" s="334"/>
      <c r="Z42" s="403">
        <f>SUM(Z43:Z44)</f>
        <v>259636586.37</v>
      </c>
      <c r="AA42" s="73">
        <f t="shared" si="1"/>
        <v>40363413.629999995</v>
      </c>
    </row>
    <row r="43" spans="2:27"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v>100000000</v>
      </c>
      <c r="S43" s="92"/>
      <c r="T43" s="93" t="s">
        <v>113010</v>
      </c>
      <c r="U43" s="275">
        <v>33024</v>
      </c>
      <c r="V43" s="276">
        <v>100000000</v>
      </c>
      <c r="W43" s="276">
        <f t="shared" si="0"/>
        <v>0</v>
      </c>
      <c r="X43" s="276">
        <f>V43-Z43</f>
        <v>20730113.629999995</v>
      </c>
      <c r="Y43" s="354" t="s">
        <v>113356</v>
      </c>
      <c r="Z43" s="432">
        <f>1685501+30618985.9+6233665.54+3291733.93+37440000</f>
        <v>79269886.370000005</v>
      </c>
      <c r="AA43" s="443">
        <f t="shared" si="1"/>
        <v>20730113.629999995</v>
      </c>
    </row>
    <row r="44" spans="2:27" ht="45" customHeight="1" x14ac:dyDescent="0.25">
      <c r="B44" s="84"/>
      <c r="C44" s="85"/>
      <c r="D44" s="85"/>
      <c r="E44" s="85"/>
      <c r="F44" s="85"/>
      <c r="G44" s="85"/>
      <c r="H44" s="85"/>
      <c r="I44" s="85"/>
      <c r="J44" s="86"/>
      <c r="K44" s="86" t="s">
        <v>106582</v>
      </c>
      <c r="L44" s="87" t="s">
        <v>113204</v>
      </c>
      <c r="M44" s="97" t="s">
        <v>113021</v>
      </c>
      <c r="N44" s="89">
        <v>45474</v>
      </c>
      <c r="O44" s="89" t="s">
        <v>112996</v>
      </c>
      <c r="P44" s="90" t="s">
        <v>113133</v>
      </c>
      <c r="Q44" s="90" t="s">
        <v>112998</v>
      </c>
      <c r="R44" s="94">
        <v>200000000</v>
      </c>
      <c r="S44" s="92"/>
      <c r="T44" s="93" t="s">
        <v>113017</v>
      </c>
      <c r="U44" s="275">
        <v>59624</v>
      </c>
      <c r="V44" s="276">
        <v>200000000</v>
      </c>
      <c r="W44" s="276">
        <f t="shared" si="0"/>
        <v>0</v>
      </c>
      <c r="X44" s="276">
        <f>V44-Z44</f>
        <v>19633300</v>
      </c>
      <c r="Y44" s="340" t="s">
        <v>113496</v>
      </c>
      <c r="Z44" s="432">
        <v>180366700</v>
      </c>
      <c r="AA44" s="443">
        <f t="shared" si="1"/>
        <v>19633300</v>
      </c>
    </row>
    <row r="45" spans="2:27"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76">
        <f>+V46+V52+V57+V62+V69</f>
        <v>311288093</v>
      </c>
      <c r="W45" s="376">
        <f t="shared" si="0"/>
        <v>20511907</v>
      </c>
      <c r="X45" s="65">
        <f>+X46+X52+X57+X62+X69</f>
        <v>20006118</v>
      </c>
      <c r="Y45" s="333"/>
      <c r="Z45" s="402">
        <f>+Z46+Z52+Z57+Z62+Z69</f>
        <v>291281975</v>
      </c>
      <c r="AA45" s="65">
        <f t="shared" si="1"/>
        <v>40518025</v>
      </c>
    </row>
    <row r="46" spans="2:27" ht="30" x14ac:dyDescent="0.25">
      <c r="B46" s="306" t="s">
        <v>105516</v>
      </c>
      <c r="C46" s="306" t="s">
        <v>105573</v>
      </c>
      <c r="D46" s="306" t="s">
        <v>105573</v>
      </c>
      <c r="E46" s="306" t="s">
        <v>105520</v>
      </c>
      <c r="F46" s="306" t="s">
        <v>105538</v>
      </c>
      <c r="G46" s="306" t="s">
        <v>105535</v>
      </c>
      <c r="H46" s="68"/>
      <c r="I46" s="68"/>
      <c r="J46" s="68"/>
      <c r="K46" s="69"/>
      <c r="L46" s="69"/>
      <c r="M46" s="70" t="s">
        <v>113306</v>
      </c>
      <c r="N46" s="71"/>
      <c r="O46" s="71"/>
      <c r="P46" s="72"/>
      <c r="Q46" s="72"/>
      <c r="R46" s="73">
        <f>+R47+R50</f>
        <v>67000000</v>
      </c>
      <c r="S46" s="74"/>
      <c r="T46" s="75"/>
      <c r="U46" s="71" t="s">
        <v>112994</v>
      </c>
      <c r="V46" s="377">
        <f>+V47+V50</f>
        <v>63245283</v>
      </c>
      <c r="W46" s="377">
        <f t="shared" si="0"/>
        <v>3754717</v>
      </c>
      <c r="X46" s="73">
        <f>+X47+X50</f>
        <v>0</v>
      </c>
      <c r="Y46" s="334"/>
      <c r="Z46" s="403">
        <f>+Z47+Z50</f>
        <v>63245283</v>
      </c>
      <c r="AA46" s="73">
        <f t="shared" si="1"/>
        <v>3754717</v>
      </c>
    </row>
    <row r="47" spans="2:27"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78">
        <f>SUM(V48:V49)</f>
        <v>61500000</v>
      </c>
      <c r="W47" s="378">
        <f t="shared" si="0"/>
        <v>0</v>
      </c>
      <c r="X47" s="81">
        <f>SUM(X48:X49)</f>
        <v>0</v>
      </c>
      <c r="Y47" s="335"/>
      <c r="Z47" s="404">
        <f>SUM(Z48:Z49)</f>
        <v>61500000</v>
      </c>
      <c r="AA47" s="81">
        <f t="shared" si="1"/>
        <v>0</v>
      </c>
    </row>
    <row r="48" spans="2:27"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v>16500000</v>
      </c>
      <c r="W48" s="276">
        <f t="shared" si="0"/>
        <v>0</v>
      </c>
      <c r="X48" s="276">
        <f>V48-Z48</f>
        <v>0</v>
      </c>
      <c r="Y48" s="340" t="s">
        <v>113481</v>
      </c>
      <c r="Z48" s="432">
        <v>16500000</v>
      </c>
      <c r="AA48" s="443">
        <f t="shared" si="1"/>
        <v>0</v>
      </c>
    </row>
    <row r="49" spans="2:27"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 t="shared" si="0"/>
        <v>0</v>
      </c>
      <c r="X49" s="276">
        <f>V49-Z49</f>
        <v>0</v>
      </c>
      <c r="Y49" s="340" t="s">
        <v>113355</v>
      </c>
      <c r="Z49" s="432">
        <v>45000000</v>
      </c>
      <c r="AA49" s="443">
        <f t="shared" si="1"/>
        <v>0</v>
      </c>
    </row>
    <row r="50" spans="2:27"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78">
        <f>SUM(V51:V51)</f>
        <v>1745283</v>
      </c>
      <c r="W50" s="378">
        <f t="shared" si="0"/>
        <v>3754717</v>
      </c>
      <c r="X50" s="81">
        <f>SUM(X51:X51)</f>
        <v>0</v>
      </c>
      <c r="Y50" s="335"/>
      <c r="Z50" s="404">
        <f>SUM(Z51:Z51)</f>
        <v>1745283</v>
      </c>
      <c r="AA50" s="81">
        <f t="shared" si="1"/>
        <v>3754717</v>
      </c>
    </row>
    <row r="51" spans="2:27"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113287</v>
      </c>
      <c r="V51" s="276">
        <v>1745283</v>
      </c>
      <c r="W51" s="276">
        <f t="shared" si="0"/>
        <v>3754717</v>
      </c>
      <c r="X51" s="276">
        <f>V51-Z51</f>
        <v>0</v>
      </c>
      <c r="Y51" s="340" t="s">
        <v>113357</v>
      </c>
      <c r="Z51" s="433">
        <v>1745283</v>
      </c>
      <c r="AA51" s="443">
        <f t="shared" si="1"/>
        <v>3754717</v>
      </c>
    </row>
    <row r="52" spans="2:27"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77">
        <f>+V53+V55</f>
        <v>50000000</v>
      </c>
      <c r="W52" s="377">
        <f t="shared" si="0"/>
        <v>0</v>
      </c>
      <c r="X52" s="73">
        <f>+X53+X55</f>
        <v>0</v>
      </c>
      <c r="Y52" s="334"/>
      <c r="Z52" s="403">
        <f>+Z53+Z55</f>
        <v>50000000</v>
      </c>
      <c r="AA52" s="73">
        <f t="shared" si="1"/>
        <v>0</v>
      </c>
    </row>
    <row r="53" spans="2:27"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78">
        <f>+V54</f>
        <v>10000000</v>
      </c>
      <c r="W53" s="378">
        <f t="shared" si="0"/>
        <v>0</v>
      </c>
      <c r="X53" s="81">
        <f>+X54</f>
        <v>0</v>
      </c>
      <c r="Y53" s="335"/>
      <c r="Z53" s="404">
        <f>+Z54</f>
        <v>10000000</v>
      </c>
      <c r="AA53" s="81">
        <f t="shared" si="1"/>
        <v>0</v>
      </c>
    </row>
    <row r="54" spans="2:27"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 t="shared" si="0"/>
        <v>0</v>
      </c>
      <c r="X54" s="276">
        <f>V54-Z54</f>
        <v>0</v>
      </c>
      <c r="Y54" s="340" t="s">
        <v>113484</v>
      </c>
      <c r="Z54" s="432">
        <v>10000000</v>
      </c>
      <c r="AA54" s="443">
        <f t="shared" si="1"/>
        <v>0</v>
      </c>
    </row>
    <row r="55" spans="2:27"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78">
        <f>+V56</f>
        <v>40000000</v>
      </c>
      <c r="W55" s="378">
        <f t="shared" si="0"/>
        <v>0</v>
      </c>
      <c r="X55" s="81">
        <f>+X56</f>
        <v>0</v>
      </c>
      <c r="Y55" s="335"/>
      <c r="Z55" s="404">
        <f>+Z56</f>
        <v>40000000</v>
      </c>
      <c r="AA55" s="81">
        <f t="shared" si="1"/>
        <v>0</v>
      </c>
    </row>
    <row r="56" spans="2:27"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 t="shared" si="0"/>
        <v>0</v>
      </c>
      <c r="X56" s="276">
        <f>V56-Z56</f>
        <v>0</v>
      </c>
      <c r="Y56" s="340" t="s">
        <v>113358</v>
      </c>
      <c r="Z56" s="432">
        <v>40000000</v>
      </c>
      <c r="AA56" s="443">
        <f t="shared" si="1"/>
        <v>0</v>
      </c>
    </row>
    <row r="57" spans="2:27"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77">
        <f>+V58+V60</f>
        <v>80000000</v>
      </c>
      <c r="W57" s="377">
        <f t="shared" si="0"/>
        <v>0</v>
      </c>
      <c r="X57" s="73">
        <f>+X58+X60</f>
        <v>0</v>
      </c>
      <c r="Y57" s="334"/>
      <c r="Z57" s="403">
        <f>+Z58+Z60</f>
        <v>80000000</v>
      </c>
      <c r="AA57" s="73">
        <f t="shared" si="1"/>
        <v>0</v>
      </c>
    </row>
    <row r="58" spans="2:27"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78">
        <f>+V59</f>
        <v>65000000</v>
      </c>
      <c r="W58" s="378">
        <f t="shared" si="0"/>
        <v>0</v>
      </c>
      <c r="X58" s="81">
        <f>+X59</f>
        <v>0</v>
      </c>
      <c r="Y58" s="335"/>
      <c r="Z58" s="404">
        <f>+Z59</f>
        <v>65000000</v>
      </c>
      <c r="AA58" s="81">
        <f t="shared" si="1"/>
        <v>0</v>
      </c>
    </row>
    <row r="59" spans="2:27"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113264</v>
      </c>
      <c r="R59" s="91">
        <v>65000000</v>
      </c>
      <c r="S59" s="92"/>
      <c r="T59" s="93" t="s">
        <v>113002</v>
      </c>
      <c r="U59" s="275">
        <v>30224</v>
      </c>
      <c r="V59" s="276">
        <v>65000000</v>
      </c>
      <c r="W59" s="276">
        <f t="shared" si="0"/>
        <v>0</v>
      </c>
      <c r="X59" s="276">
        <f>V59-Z59</f>
        <v>0</v>
      </c>
      <c r="Y59" s="340" t="s">
        <v>113355</v>
      </c>
      <c r="Z59" s="432">
        <v>65000000</v>
      </c>
      <c r="AA59" s="443">
        <f t="shared" si="1"/>
        <v>0</v>
      </c>
    </row>
    <row r="60" spans="2:27"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78">
        <f>+V61</f>
        <v>15000000</v>
      </c>
      <c r="W60" s="378">
        <f t="shared" si="0"/>
        <v>0</v>
      </c>
      <c r="X60" s="81">
        <f>+X61</f>
        <v>0</v>
      </c>
      <c r="Y60" s="335"/>
      <c r="Z60" s="404">
        <f>+Z61</f>
        <v>15000000</v>
      </c>
      <c r="AA60" s="81">
        <f t="shared" si="1"/>
        <v>0</v>
      </c>
    </row>
    <row r="61" spans="2:27"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v>15000000</v>
      </c>
      <c r="W61" s="276">
        <f t="shared" si="0"/>
        <v>0</v>
      </c>
      <c r="X61" s="276">
        <f>V61-Z61</f>
        <v>0</v>
      </c>
      <c r="Y61" s="340" t="s">
        <v>113481</v>
      </c>
      <c r="Z61" s="432">
        <v>15000000</v>
      </c>
      <c r="AA61" s="443">
        <f t="shared" si="1"/>
        <v>0</v>
      </c>
    </row>
    <row r="62" spans="2:27"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105000000</v>
      </c>
      <c r="S62" s="74"/>
      <c r="T62" s="75"/>
      <c r="U62" s="71" t="s">
        <v>112994</v>
      </c>
      <c r="V62" s="377">
        <f>+V63+V65+V67</f>
        <v>105000000</v>
      </c>
      <c r="W62" s="377">
        <f t="shared" si="0"/>
        <v>0</v>
      </c>
      <c r="X62" s="73">
        <f>+X63+X65+X67</f>
        <v>20006118</v>
      </c>
      <c r="Y62" s="334"/>
      <c r="Z62" s="403">
        <f>+Z63+Z65+Z67</f>
        <v>84993882</v>
      </c>
      <c r="AA62" s="73">
        <f t="shared" si="1"/>
        <v>20006118</v>
      </c>
    </row>
    <row r="63" spans="2:27"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78">
        <f>+V64</f>
        <v>10000000</v>
      </c>
      <c r="W63" s="378">
        <f t="shared" si="0"/>
        <v>0</v>
      </c>
      <c r="X63" s="81">
        <f>+X64</f>
        <v>10000000</v>
      </c>
      <c r="Y63" s="335"/>
      <c r="Z63" s="404">
        <f>+Z64</f>
        <v>0</v>
      </c>
      <c r="AA63" s="81">
        <f t="shared" si="1"/>
        <v>10000000</v>
      </c>
    </row>
    <row r="64" spans="2:27" ht="30" x14ac:dyDescent="0.25">
      <c r="B64" s="84"/>
      <c r="C64" s="85"/>
      <c r="D64" s="85"/>
      <c r="E64" s="85"/>
      <c r="F64" s="85"/>
      <c r="G64" s="85"/>
      <c r="H64" s="85"/>
      <c r="I64" s="85"/>
      <c r="J64" s="86"/>
      <c r="K64" s="86" t="s">
        <v>106656</v>
      </c>
      <c r="L64" s="51">
        <v>25172500</v>
      </c>
      <c r="M64" s="88" t="s">
        <v>113042</v>
      </c>
      <c r="N64" s="89">
        <v>45337</v>
      </c>
      <c r="O64" s="89" t="s">
        <v>113000</v>
      </c>
      <c r="P64" s="90" t="s">
        <v>113162</v>
      </c>
      <c r="Q64" s="90" t="s">
        <v>113263</v>
      </c>
      <c r="R64" s="91">
        <v>10000000</v>
      </c>
      <c r="S64" s="92"/>
      <c r="T64" s="93" t="s">
        <v>113033</v>
      </c>
      <c r="U64" s="275">
        <v>52624</v>
      </c>
      <c r="V64" s="276">
        <v>10000000</v>
      </c>
      <c r="W64" s="276">
        <f t="shared" si="0"/>
        <v>0</v>
      </c>
      <c r="X64" s="276">
        <f>V64-Z64</f>
        <v>10000000</v>
      </c>
      <c r="Y64" s="340"/>
      <c r="Z64" s="432"/>
      <c r="AA64" s="443">
        <f t="shared" si="1"/>
        <v>10000000</v>
      </c>
    </row>
    <row r="65" spans="1:27"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78">
        <f>+V66</f>
        <v>85000000</v>
      </c>
      <c r="W65" s="378">
        <f t="shared" si="0"/>
        <v>0</v>
      </c>
      <c r="X65" s="81">
        <f>+X66</f>
        <v>10006118</v>
      </c>
      <c r="Y65" s="335"/>
      <c r="Z65" s="404">
        <f>+Z66</f>
        <v>74993882</v>
      </c>
      <c r="AA65" s="81">
        <f t="shared" si="1"/>
        <v>10006118</v>
      </c>
    </row>
    <row r="66" spans="1:27" ht="40.5" customHeight="1" x14ac:dyDescent="0.25">
      <c r="B66" s="84"/>
      <c r="C66" s="85"/>
      <c r="D66" s="85"/>
      <c r="E66" s="85"/>
      <c r="F66" s="85"/>
      <c r="G66" s="85"/>
      <c r="H66" s="85"/>
      <c r="I66" s="85"/>
      <c r="J66" s="86"/>
      <c r="K66" s="86" t="s">
        <v>106656</v>
      </c>
      <c r="L66" s="112" t="s">
        <v>113204</v>
      </c>
      <c r="M66" s="113" t="s">
        <v>113044</v>
      </c>
      <c r="N66" s="89">
        <v>45474</v>
      </c>
      <c r="O66" s="89" t="s">
        <v>112996</v>
      </c>
      <c r="P66" s="90" t="s">
        <v>113133</v>
      </c>
      <c r="Q66" s="90" t="s">
        <v>112998</v>
      </c>
      <c r="R66" s="94">
        <v>85000000</v>
      </c>
      <c r="S66" s="92"/>
      <c r="T66" s="93" t="s">
        <v>113017</v>
      </c>
      <c r="U66" s="275">
        <v>59624</v>
      </c>
      <c r="V66" s="276">
        <v>85000000</v>
      </c>
      <c r="W66" s="276">
        <f t="shared" si="0"/>
        <v>0</v>
      </c>
      <c r="X66" s="276">
        <f>V66-Z66</f>
        <v>10006118</v>
      </c>
      <c r="Y66" s="340" t="s">
        <v>113496</v>
      </c>
      <c r="Z66" s="432">
        <v>74993882</v>
      </c>
      <c r="AA66" s="443">
        <f t="shared" si="1"/>
        <v>10006118</v>
      </c>
    </row>
    <row r="67" spans="1:27"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79">
        <f>+V68</f>
        <v>10000000</v>
      </c>
      <c r="W67" s="379">
        <f t="shared" si="0"/>
        <v>0</v>
      </c>
      <c r="X67" s="106">
        <f>+X68</f>
        <v>0</v>
      </c>
      <c r="Y67" s="335"/>
      <c r="Z67" s="405">
        <f>+Z68</f>
        <v>10000000</v>
      </c>
      <c r="AA67" s="106">
        <f t="shared" si="1"/>
        <v>0</v>
      </c>
    </row>
    <row r="68" spans="1:27"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v>10000000</v>
      </c>
      <c r="W68" s="276">
        <f t="shared" si="0"/>
        <v>0</v>
      </c>
      <c r="X68" s="276">
        <f>V68-Z68</f>
        <v>0</v>
      </c>
      <c r="Y68" s="340" t="s">
        <v>113481</v>
      </c>
      <c r="Z68" s="432">
        <v>10000000</v>
      </c>
      <c r="AA68" s="443">
        <f t="shared" si="1"/>
        <v>0</v>
      </c>
    </row>
    <row r="69" spans="1:27"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77">
        <f t="shared" ref="V69:X70" si="5">+V70</f>
        <v>13042810</v>
      </c>
      <c r="W69" s="377">
        <f t="shared" si="0"/>
        <v>16757190</v>
      </c>
      <c r="X69" s="73">
        <f t="shared" si="5"/>
        <v>0</v>
      </c>
      <c r="Y69" s="334"/>
      <c r="Z69" s="403">
        <f>+Z70</f>
        <v>13042810</v>
      </c>
      <c r="AA69" s="73">
        <f t="shared" si="1"/>
        <v>16757190</v>
      </c>
    </row>
    <row r="70" spans="1:27"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79">
        <f t="shared" si="5"/>
        <v>13042810</v>
      </c>
      <c r="W70" s="379">
        <f t="shared" si="0"/>
        <v>16757190</v>
      </c>
      <c r="X70" s="106">
        <f t="shared" si="5"/>
        <v>0</v>
      </c>
      <c r="Y70" s="335"/>
      <c r="Z70" s="405">
        <f>+Z71</f>
        <v>13042810</v>
      </c>
      <c r="AA70" s="106">
        <f t="shared" si="1"/>
        <v>16757190</v>
      </c>
    </row>
    <row r="71" spans="1:27"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113334</v>
      </c>
      <c r="V71" s="280">
        <v>13042810</v>
      </c>
      <c r="W71" s="280">
        <f t="shared" si="0"/>
        <v>16757190</v>
      </c>
      <c r="X71" s="276">
        <f>V71-Z71</f>
        <v>0</v>
      </c>
      <c r="Y71" s="341" t="s">
        <v>113359</v>
      </c>
      <c r="Z71" s="434">
        <v>13042810</v>
      </c>
      <c r="AA71" s="443">
        <f t="shared" si="1"/>
        <v>16757190</v>
      </c>
    </row>
    <row r="72" spans="1:27"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425963140</v>
      </c>
      <c r="S72" s="66"/>
      <c r="T72" s="67"/>
      <c r="U72" s="63" t="s">
        <v>112994</v>
      </c>
      <c r="V72" s="376">
        <f>+V75+V78+V81+V89+V73</f>
        <v>391963140</v>
      </c>
      <c r="W72" s="376">
        <f t="shared" ref="W72:W135" si="6">R72-V72</f>
        <v>34000000</v>
      </c>
      <c r="X72" s="65">
        <f>+X75+X78+X81+X89+X73</f>
        <v>145649511.17000002</v>
      </c>
      <c r="Y72" s="333"/>
      <c r="Z72" s="402">
        <f>+Z75+Z78+Z81+Z89+Z73</f>
        <v>246313628.82999998</v>
      </c>
      <c r="AA72" s="65">
        <f t="shared" ref="AA72:AA135" si="7">R72-Z72</f>
        <v>179649511.17000002</v>
      </c>
    </row>
    <row r="73" spans="1:27"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77">
        <f>V74</f>
        <v>20408075.170000002</v>
      </c>
      <c r="W73" s="377">
        <f t="shared" si="6"/>
        <v>0</v>
      </c>
      <c r="X73" s="73">
        <f>X74</f>
        <v>28075.170000001788</v>
      </c>
      <c r="Y73" s="334"/>
      <c r="Z73" s="403">
        <f>Z74</f>
        <v>20380000</v>
      </c>
      <c r="AA73" s="73">
        <f t="shared" si="7"/>
        <v>28075.170000001788</v>
      </c>
    </row>
    <row r="74" spans="1:27" ht="60" x14ac:dyDescent="0.25">
      <c r="B74" s="84"/>
      <c r="C74" s="85"/>
      <c r="D74" s="85"/>
      <c r="E74" s="85"/>
      <c r="F74" s="85"/>
      <c r="G74" s="85"/>
      <c r="H74" s="85"/>
      <c r="I74" s="85"/>
      <c r="J74" s="86"/>
      <c r="K74" s="86" t="s">
        <v>106717</v>
      </c>
      <c r="L74" s="87" t="s">
        <v>113457</v>
      </c>
      <c r="M74" s="88" t="s">
        <v>113458</v>
      </c>
      <c r="N74" s="89">
        <v>45536</v>
      </c>
      <c r="O74" s="89" t="s">
        <v>113074</v>
      </c>
      <c r="P74" s="90" t="s">
        <v>113043</v>
      </c>
      <c r="Q74" s="90" t="s">
        <v>113050</v>
      </c>
      <c r="R74" s="91">
        <f>17469435.17+2938640</f>
        <v>20408075.170000002</v>
      </c>
      <c r="S74" s="92"/>
      <c r="T74" s="93" t="s">
        <v>113017</v>
      </c>
      <c r="U74" s="275">
        <v>81424</v>
      </c>
      <c r="V74" s="276">
        <v>20408075.170000002</v>
      </c>
      <c r="W74" s="276">
        <f t="shared" si="6"/>
        <v>0</v>
      </c>
      <c r="X74" s="276">
        <f>V74-Z74</f>
        <v>28075.170000001788</v>
      </c>
      <c r="Y74" s="340" t="s">
        <v>113526</v>
      </c>
      <c r="Z74" s="432">
        <v>20380000</v>
      </c>
      <c r="AA74" s="443">
        <f t="shared" si="7"/>
        <v>28075.170000001788</v>
      </c>
    </row>
    <row r="75" spans="1:27"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77">
        <f t="shared" ref="V75:X76" si="8">+V76</f>
        <v>65330564.829999998</v>
      </c>
      <c r="W75" s="377">
        <f t="shared" si="6"/>
        <v>0</v>
      </c>
      <c r="X75" s="73">
        <f t="shared" si="8"/>
        <v>0</v>
      </c>
      <c r="Y75" s="334"/>
      <c r="Z75" s="403">
        <f>+Z76</f>
        <v>65330564.829999998</v>
      </c>
      <c r="AA75" s="73">
        <f t="shared" si="7"/>
        <v>0</v>
      </c>
    </row>
    <row r="76" spans="1:27"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78">
        <f t="shared" si="8"/>
        <v>65330564.829999998</v>
      </c>
      <c r="W76" s="378">
        <f t="shared" si="6"/>
        <v>0</v>
      </c>
      <c r="X76" s="81">
        <f t="shared" si="8"/>
        <v>0</v>
      </c>
      <c r="Y76" s="335"/>
      <c r="Z76" s="404">
        <f>+Z77</f>
        <v>65330564.829999998</v>
      </c>
      <c r="AA76" s="81">
        <f t="shared" si="7"/>
        <v>0</v>
      </c>
    </row>
    <row r="77" spans="1:27" ht="45" x14ac:dyDescent="0.25">
      <c r="B77" s="84"/>
      <c r="C77" s="85"/>
      <c r="D77" s="85"/>
      <c r="E77" s="85"/>
      <c r="F77" s="85"/>
      <c r="G77" s="85"/>
      <c r="H77" s="85"/>
      <c r="I77" s="85"/>
      <c r="J77" s="86"/>
      <c r="K77" s="86" t="s">
        <v>106717</v>
      </c>
      <c r="L77" s="87" t="s">
        <v>113205</v>
      </c>
      <c r="M77" s="88" t="s">
        <v>113048</v>
      </c>
      <c r="N77" s="89">
        <v>45457</v>
      </c>
      <c r="O77" s="89" t="s">
        <v>113167</v>
      </c>
      <c r="P77" s="90" t="s">
        <v>113001</v>
      </c>
      <c r="Q77" s="90" t="s">
        <v>113036</v>
      </c>
      <c r="R77" s="91">
        <f>22800000+60000000-17469435.17</f>
        <v>65330564.829999998</v>
      </c>
      <c r="S77" s="92"/>
      <c r="T77" s="93" t="s">
        <v>113017</v>
      </c>
      <c r="U77" s="275">
        <v>41824</v>
      </c>
      <c r="V77" s="276">
        <f>82800000-17469435.17</f>
        <v>65330564.829999998</v>
      </c>
      <c r="W77" s="276">
        <f t="shared" si="6"/>
        <v>0</v>
      </c>
      <c r="X77" s="276">
        <f>V77-Z77</f>
        <v>0</v>
      </c>
      <c r="Y77" s="340" t="s">
        <v>113447</v>
      </c>
      <c r="Z77" s="432">
        <v>65330564.829999998</v>
      </c>
      <c r="AA77" s="443">
        <f t="shared" si="7"/>
        <v>0</v>
      </c>
    </row>
    <row r="78" spans="1:27"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77">
        <f>+V79</f>
        <v>4224500</v>
      </c>
      <c r="W78" s="377">
        <f t="shared" si="6"/>
        <v>0</v>
      </c>
      <c r="X78" s="73">
        <f>+X79</f>
        <v>0</v>
      </c>
      <c r="Y78" s="334"/>
      <c r="Z78" s="403">
        <f>+Z79</f>
        <v>4224500</v>
      </c>
      <c r="AA78" s="73">
        <f t="shared" si="7"/>
        <v>0</v>
      </c>
    </row>
    <row r="79" spans="1:27"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78">
        <f>SUM(V80:V80)</f>
        <v>4224500</v>
      </c>
      <c r="W79" s="378">
        <f t="shared" si="6"/>
        <v>0</v>
      </c>
      <c r="X79" s="81">
        <f>SUM(X80:X80)</f>
        <v>0</v>
      </c>
      <c r="Y79" s="335"/>
      <c r="Z79" s="404">
        <f>SUM(Z80:Z80)</f>
        <v>4224500</v>
      </c>
      <c r="AA79" s="81">
        <f t="shared" si="7"/>
        <v>0</v>
      </c>
    </row>
    <row r="80" spans="1:27"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 t="shared" si="6"/>
        <v>0</v>
      </c>
      <c r="X80" s="276">
        <f>V80-Z80</f>
        <v>0</v>
      </c>
      <c r="Y80" s="340" t="s">
        <v>113360</v>
      </c>
      <c r="Z80" s="432">
        <v>4224500</v>
      </c>
      <c r="AA80" s="443">
        <f t="shared" si="7"/>
        <v>0</v>
      </c>
    </row>
    <row r="81" spans="1:27"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326000000</v>
      </c>
      <c r="S81" s="74"/>
      <c r="T81" s="75"/>
      <c r="U81" s="71" t="s">
        <v>112994</v>
      </c>
      <c r="V81" s="377">
        <f>+V82</f>
        <v>292000000</v>
      </c>
      <c r="W81" s="377">
        <f t="shared" si="6"/>
        <v>34000000</v>
      </c>
      <c r="X81" s="73">
        <f>+X82</f>
        <v>145615486</v>
      </c>
      <c r="Y81" s="334"/>
      <c r="Z81" s="403">
        <f>+Z82</f>
        <v>146384514</v>
      </c>
      <c r="AA81" s="73">
        <f t="shared" si="7"/>
        <v>179615486</v>
      </c>
    </row>
    <row r="82" spans="1:27"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78">
        <f>SUM(V83:V88)</f>
        <v>292000000</v>
      </c>
      <c r="W82" s="378">
        <f t="shared" si="6"/>
        <v>34000000</v>
      </c>
      <c r="X82" s="81">
        <f>SUM(X83:X88)</f>
        <v>145615486</v>
      </c>
      <c r="Y82" s="335"/>
      <c r="Z82" s="404">
        <f>SUM(Z83:Z88)</f>
        <v>146384514</v>
      </c>
      <c r="AA82" s="81">
        <f t="shared" si="7"/>
        <v>179615486</v>
      </c>
    </row>
    <row r="83" spans="1:27" ht="30" x14ac:dyDescent="0.25">
      <c r="A83" s="294"/>
      <c r="B83" s="84"/>
      <c r="C83" s="85"/>
      <c r="D83" s="85"/>
      <c r="E83" s="85"/>
      <c r="F83" s="85"/>
      <c r="G83" s="85"/>
      <c r="H83" s="85"/>
      <c r="I83" s="85"/>
      <c r="J83" s="86"/>
      <c r="K83" s="86" t="s">
        <v>106736</v>
      </c>
      <c r="L83" s="87">
        <v>43233200</v>
      </c>
      <c r="M83" s="97" t="s">
        <v>113173</v>
      </c>
      <c r="N83" s="89">
        <v>45306</v>
      </c>
      <c r="O83" s="89" t="s">
        <v>113035</v>
      </c>
      <c r="P83" s="90" t="s">
        <v>113020</v>
      </c>
      <c r="Q83" s="90" t="s">
        <v>113051</v>
      </c>
      <c r="R83" s="91">
        <v>18000000</v>
      </c>
      <c r="S83" s="92"/>
      <c r="T83" s="93" t="s">
        <v>113052</v>
      </c>
      <c r="U83" s="275">
        <v>43024</v>
      </c>
      <c r="V83" s="276">
        <v>18000000</v>
      </c>
      <c r="W83" s="276">
        <f t="shared" si="6"/>
        <v>0</v>
      </c>
      <c r="X83" s="276">
        <f t="shared" ref="X83:X88" si="9">V83-Z83</f>
        <v>567690</v>
      </c>
      <c r="Y83" s="340" t="s">
        <v>113361</v>
      </c>
      <c r="Z83" s="432">
        <v>17432310</v>
      </c>
      <c r="AA83" s="443">
        <f t="shared" si="7"/>
        <v>567690</v>
      </c>
    </row>
    <row r="84" spans="1:27" ht="45" x14ac:dyDescent="0.25">
      <c r="A84" s="294"/>
      <c r="B84" s="84"/>
      <c r="C84" s="85"/>
      <c r="D84" s="85"/>
      <c r="E84" s="85"/>
      <c r="F84" s="85"/>
      <c r="G84" s="85"/>
      <c r="H84" s="85"/>
      <c r="I84" s="85"/>
      <c r="J84" s="86"/>
      <c r="K84" s="86" t="s">
        <v>106736</v>
      </c>
      <c r="L84" s="87" t="s">
        <v>113511</v>
      </c>
      <c r="M84" s="88" t="s">
        <v>113510</v>
      </c>
      <c r="N84" s="89">
        <v>45580</v>
      </c>
      <c r="O84" s="89" t="s">
        <v>113067</v>
      </c>
      <c r="P84" s="90" t="s">
        <v>113043</v>
      </c>
      <c r="Q84" s="90" t="s">
        <v>112998</v>
      </c>
      <c r="R84" s="94">
        <v>35000000</v>
      </c>
      <c r="S84" s="92"/>
      <c r="T84" s="93" t="s">
        <v>113002</v>
      </c>
      <c r="U84" s="275">
        <v>97424</v>
      </c>
      <c r="V84" s="276">
        <v>35000000</v>
      </c>
      <c r="W84" s="276">
        <f t="shared" si="6"/>
        <v>0</v>
      </c>
      <c r="X84" s="276">
        <f t="shared" si="9"/>
        <v>35000000</v>
      </c>
      <c r="Y84" s="340"/>
      <c r="Z84" s="432"/>
      <c r="AA84" s="443">
        <f t="shared" si="7"/>
        <v>35000000</v>
      </c>
    </row>
    <row r="85" spans="1:27" ht="60" customHeight="1" x14ac:dyDescent="0.25">
      <c r="B85" s="84"/>
      <c r="C85" s="85"/>
      <c r="D85" s="85"/>
      <c r="E85" s="85"/>
      <c r="F85" s="85"/>
      <c r="G85" s="85"/>
      <c r="H85" s="85"/>
      <c r="I85" s="85"/>
      <c r="J85" s="86"/>
      <c r="K85" s="86" t="s">
        <v>106736</v>
      </c>
      <c r="L85" s="51">
        <v>43231500</v>
      </c>
      <c r="M85" s="88" t="s">
        <v>113340</v>
      </c>
      <c r="N85" s="89">
        <v>45481</v>
      </c>
      <c r="O85" s="89" t="s">
        <v>113008</v>
      </c>
      <c r="P85" s="90" t="s">
        <v>112997</v>
      </c>
      <c r="Q85" s="90" t="s">
        <v>112998</v>
      </c>
      <c r="R85" s="395">
        <f>50000000+2575500+9450000+3000000+2611012.17+7800000+1799695+32763792.83</f>
        <v>110000000</v>
      </c>
      <c r="S85" s="116"/>
      <c r="T85" s="93" t="s">
        <v>113002</v>
      </c>
      <c r="U85" s="275">
        <v>68024</v>
      </c>
      <c r="V85" s="276">
        <v>110000000</v>
      </c>
      <c r="W85" s="276">
        <f t="shared" si="6"/>
        <v>0</v>
      </c>
      <c r="X85" s="276">
        <f t="shared" si="9"/>
        <v>110000000</v>
      </c>
      <c r="Y85" s="340"/>
      <c r="Z85" s="432"/>
      <c r="AA85" s="443">
        <f t="shared" si="7"/>
        <v>110000000</v>
      </c>
    </row>
    <row r="86" spans="1:27" ht="30" x14ac:dyDescent="0.25">
      <c r="B86" s="84"/>
      <c r="C86" s="85"/>
      <c r="D86" s="85"/>
      <c r="E86" s="85"/>
      <c r="F86" s="85"/>
      <c r="G86" s="85"/>
      <c r="H86" s="85"/>
      <c r="I86" s="85"/>
      <c r="J86" s="86"/>
      <c r="K86" s="86"/>
      <c r="L86" s="51">
        <v>43231500</v>
      </c>
      <c r="M86" s="88" t="s">
        <v>113277</v>
      </c>
      <c r="N86" s="89"/>
      <c r="O86" s="89"/>
      <c r="P86" s="90"/>
      <c r="Q86" s="90" t="s">
        <v>113096</v>
      </c>
      <c r="R86" s="91">
        <f>22000000-18000000</f>
        <v>4000000</v>
      </c>
      <c r="S86" s="116"/>
      <c r="T86" s="93"/>
      <c r="U86" s="277"/>
      <c r="V86" s="276"/>
      <c r="W86" s="276">
        <f t="shared" si="6"/>
        <v>4000000</v>
      </c>
      <c r="X86" s="276">
        <f t="shared" si="9"/>
        <v>0</v>
      </c>
      <c r="Y86" s="340"/>
      <c r="Z86" s="432"/>
      <c r="AA86" s="443">
        <f t="shared" si="7"/>
        <v>4000000</v>
      </c>
    </row>
    <row r="87" spans="1:27" ht="30" x14ac:dyDescent="0.25">
      <c r="B87" s="84"/>
      <c r="C87" s="85"/>
      <c r="D87" s="85"/>
      <c r="E87" s="85"/>
      <c r="F87" s="85"/>
      <c r="G87" s="85"/>
      <c r="H87" s="85"/>
      <c r="I87" s="85"/>
      <c r="J87" s="86"/>
      <c r="K87" s="86" t="s">
        <v>106736</v>
      </c>
      <c r="L87" s="51">
        <v>43231500</v>
      </c>
      <c r="M87" s="88" t="s">
        <v>113232</v>
      </c>
      <c r="N87" s="89">
        <v>45390</v>
      </c>
      <c r="O87" s="89" t="s">
        <v>113082</v>
      </c>
      <c r="P87" s="90" t="s">
        <v>112997</v>
      </c>
      <c r="Q87" s="90" t="s">
        <v>113051</v>
      </c>
      <c r="R87" s="91">
        <f>130000000-2000000-29000000+30000000</f>
        <v>129000000</v>
      </c>
      <c r="S87" s="92"/>
      <c r="T87" s="93" t="s">
        <v>113002</v>
      </c>
      <c r="U87" s="275">
        <v>49524</v>
      </c>
      <c r="V87" s="276">
        <v>129000000</v>
      </c>
      <c r="W87" s="276">
        <f t="shared" si="6"/>
        <v>0</v>
      </c>
      <c r="X87" s="276">
        <f t="shared" si="9"/>
        <v>47796</v>
      </c>
      <c r="Y87" s="340" t="s">
        <v>113362</v>
      </c>
      <c r="Z87" s="432">
        <v>128952204</v>
      </c>
      <c r="AA87" s="443">
        <f t="shared" si="7"/>
        <v>47796</v>
      </c>
    </row>
    <row r="88" spans="1:27" ht="30" x14ac:dyDescent="0.25">
      <c r="B88" s="84"/>
      <c r="C88" s="85"/>
      <c r="D88" s="85"/>
      <c r="E88" s="85"/>
      <c r="F88" s="85"/>
      <c r="G88" s="85"/>
      <c r="H88" s="85"/>
      <c r="I88" s="85"/>
      <c r="J88" s="86"/>
      <c r="K88" s="86" t="s">
        <v>106736</v>
      </c>
      <c r="L88" s="51">
        <v>43231500</v>
      </c>
      <c r="M88" s="88" t="s">
        <v>113341</v>
      </c>
      <c r="N88" s="89">
        <v>45474</v>
      </c>
      <c r="O88" s="89" t="s">
        <v>112996</v>
      </c>
      <c r="P88" s="90" t="s">
        <v>112997</v>
      </c>
      <c r="Q88" s="90" t="s">
        <v>113036</v>
      </c>
      <c r="R88" s="94">
        <v>30000000</v>
      </c>
      <c r="S88" s="92"/>
      <c r="T88" s="93" t="s">
        <v>113002</v>
      </c>
      <c r="U88" s="277"/>
      <c r="V88" s="276"/>
      <c r="W88" s="276">
        <f t="shared" si="6"/>
        <v>30000000</v>
      </c>
      <c r="X88" s="276">
        <f t="shared" si="9"/>
        <v>0</v>
      </c>
      <c r="Y88" s="340"/>
      <c r="Z88" s="432"/>
      <c r="AA88" s="443">
        <f t="shared" si="7"/>
        <v>30000000</v>
      </c>
    </row>
    <row r="89" spans="1:27"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77">
        <f>+V90+V92</f>
        <v>10000000</v>
      </c>
      <c r="W89" s="377">
        <f t="shared" si="6"/>
        <v>0</v>
      </c>
      <c r="X89" s="73">
        <f>+X90+X92</f>
        <v>5950</v>
      </c>
      <c r="Y89" s="334"/>
      <c r="Z89" s="403">
        <f>+Z90+Z92</f>
        <v>9994050</v>
      </c>
      <c r="AA89" s="73">
        <f t="shared" si="7"/>
        <v>5950</v>
      </c>
    </row>
    <row r="90" spans="1:27"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78">
        <f>+V91</f>
        <v>10000000</v>
      </c>
      <c r="W90" s="378">
        <f t="shared" si="6"/>
        <v>0</v>
      </c>
      <c r="X90" s="81">
        <f>+X91</f>
        <v>5950</v>
      </c>
      <c r="Y90" s="335"/>
      <c r="Z90" s="404">
        <f>+Z91</f>
        <v>9994050</v>
      </c>
      <c r="AA90" s="81">
        <f t="shared" si="7"/>
        <v>5950</v>
      </c>
    </row>
    <row r="91" spans="1:27" ht="39.75" customHeight="1" x14ac:dyDescent="0.25">
      <c r="B91" s="84"/>
      <c r="C91" s="85"/>
      <c r="D91" s="85"/>
      <c r="E91" s="85"/>
      <c r="F91" s="85"/>
      <c r="G91" s="85"/>
      <c r="H91" s="85"/>
      <c r="I91" s="85"/>
      <c r="J91" s="86"/>
      <c r="K91" s="86" t="s">
        <v>106745</v>
      </c>
      <c r="L91" s="87" t="s">
        <v>113204</v>
      </c>
      <c r="M91" s="88" t="s">
        <v>113055</v>
      </c>
      <c r="N91" s="89">
        <v>45474</v>
      </c>
      <c r="O91" s="89" t="s">
        <v>112996</v>
      </c>
      <c r="P91" s="90" t="s">
        <v>113133</v>
      </c>
      <c r="Q91" s="90" t="s">
        <v>112998</v>
      </c>
      <c r="R91" s="94">
        <v>10000000</v>
      </c>
      <c r="S91" s="92"/>
      <c r="T91" s="93" t="s">
        <v>113017</v>
      </c>
      <c r="U91" s="275">
        <v>59624</v>
      </c>
      <c r="V91" s="276">
        <v>10000000</v>
      </c>
      <c r="W91" s="276">
        <f t="shared" si="6"/>
        <v>0</v>
      </c>
      <c r="X91" s="276">
        <f>V91-Z91</f>
        <v>5950</v>
      </c>
      <c r="Y91" s="340" t="s">
        <v>113496</v>
      </c>
      <c r="Z91" s="432">
        <v>9994050</v>
      </c>
      <c r="AA91" s="443">
        <f t="shared" si="7"/>
        <v>5950</v>
      </c>
    </row>
    <row r="92" spans="1:27"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78">
        <f>+V93</f>
        <v>0</v>
      </c>
      <c r="W92" s="378">
        <f t="shared" si="6"/>
        <v>0</v>
      </c>
      <c r="X92" s="81">
        <f>+X93</f>
        <v>0</v>
      </c>
      <c r="Y92" s="335"/>
      <c r="Z92" s="404">
        <f>+Z93</f>
        <v>0</v>
      </c>
      <c r="AA92" s="81">
        <f t="shared" si="7"/>
        <v>0</v>
      </c>
    </row>
    <row r="93" spans="1:27"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3"/>
      <c r="W93" s="323">
        <f t="shared" si="6"/>
        <v>0</v>
      </c>
      <c r="X93" s="276">
        <f>V93-Z93</f>
        <v>0</v>
      </c>
      <c r="Y93" s="342"/>
      <c r="Z93" s="432"/>
      <c r="AA93" s="443">
        <f t="shared" si="7"/>
        <v>0</v>
      </c>
    </row>
    <row r="94" spans="1:27"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75">
        <f>+V95+V106+V112+V210+V225</f>
        <v>6318922993.6999998</v>
      </c>
      <c r="W94" s="375">
        <f t="shared" si="6"/>
        <v>353038506.30000019</v>
      </c>
      <c r="X94" s="55">
        <f>+X95+X106+X112+X210+X225</f>
        <v>309728280.5</v>
      </c>
      <c r="Y94" s="343"/>
      <c r="Z94" s="401">
        <f>+Z95+Z106+Z112+Z210+Z225</f>
        <v>6009194713.1999998</v>
      </c>
      <c r="AA94" s="55">
        <f t="shared" si="7"/>
        <v>662766786.80000019</v>
      </c>
    </row>
    <row r="95" spans="1:27" ht="76.5" customHeight="1" x14ac:dyDescent="0.25">
      <c r="B95" s="59" t="s">
        <v>105516</v>
      </c>
      <c r="C95" s="59" t="s">
        <v>105573</v>
      </c>
      <c r="D95" s="59" t="s">
        <v>105573</v>
      </c>
      <c r="E95" s="59" t="s">
        <v>105573</v>
      </c>
      <c r="F95" s="59" t="s">
        <v>105547</v>
      </c>
      <c r="G95" s="59"/>
      <c r="H95" s="59"/>
      <c r="I95" s="59"/>
      <c r="J95" s="59"/>
      <c r="K95" s="60"/>
      <c r="L95" s="61"/>
      <c r="M95" s="62" t="s">
        <v>113307</v>
      </c>
      <c r="N95" s="63"/>
      <c r="O95" s="63"/>
      <c r="P95" s="64"/>
      <c r="Q95" s="64"/>
      <c r="R95" s="65">
        <f>+R96+R100+R103</f>
        <v>539700000</v>
      </c>
      <c r="S95" s="66"/>
      <c r="T95" s="67"/>
      <c r="U95" s="63" t="s">
        <v>112994</v>
      </c>
      <c r="V95" s="376">
        <f>+V96+V100+V103</f>
        <v>500264931.37</v>
      </c>
      <c r="W95" s="376">
        <f t="shared" si="6"/>
        <v>39435068.629999995</v>
      </c>
      <c r="X95" s="65">
        <f>+X96+X100+X103</f>
        <v>0</v>
      </c>
      <c r="Y95" s="333"/>
      <c r="Z95" s="402">
        <f>+Z96+Z100+Z103</f>
        <v>500264931.37</v>
      </c>
      <c r="AA95" s="65">
        <f t="shared" si="7"/>
        <v>39435068.629999995</v>
      </c>
    </row>
    <row r="96" spans="1:27"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77">
        <f>SUM(V97:V99)</f>
        <v>44466606</v>
      </c>
      <c r="W96" s="377">
        <f t="shared" si="6"/>
        <v>6533394</v>
      </c>
      <c r="X96" s="73">
        <f>SUM(X97:X99)</f>
        <v>0</v>
      </c>
      <c r="Y96" s="334"/>
      <c r="Z96" s="403">
        <f>SUM(Z97:Z99)</f>
        <v>44466606</v>
      </c>
      <c r="AA96" s="73">
        <f t="shared" si="7"/>
        <v>6533394</v>
      </c>
    </row>
    <row r="97" spans="2:27"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113334</v>
      </c>
      <c r="V97" s="276">
        <v>466606</v>
      </c>
      <c r="W97" s="276">
        <f t="shared" si="6"/>
        <v>6533394</v>
      </c>
      <c r="X97" s="276">
        <f>V97-Z97</f>
        <v>0</v>
      </c>
      <c r="Y97" s="340" t="s">
        <v>113363</v>
      </c>
      <c r="Z97" s="432">
        <v>466606</v>
      </c>
      <c r="AA97" s="443">
        <f t="shared" si="7"/>
        <v>6533394</v>
      </c>
    </row>
    <row r="98" spans="2:27" ht="30" x14ac:dyDescent="0.25">
      <c r="B98" s="84"/>
      <c r="C98" s="85"/>
      <c r="D98" s="85"/>
      <c r="E98" s="85"/>
      <c r="F98" s="85"/>
      <c r="G98" s="85"/>
      <c r="H98" s="85"/>
      <c r="I98" s="85"/>
      <c r="J98" s="86"/>
      <c r="K98" s="86" t="s">
        <v>106828</v>
      </c>
      <c r="L98" s="87" t="s">
        <v>113179</v>
      </c>
      <c r="M98" s="88" t="s">
        <v>113056</v>
      </c>
      <c r="N98" s="89">
        <v>45294</v>
      </c>
      <c r="O98" s="89" t="s">
        <v>113057</v>
      </c>
      <c r="P98" s="90" t="s">
        <v>113009</v>
      </c>
      <c r="Q98" s="90" t="s">
        <v>113006</v>
      </c>
      <c r="R98" s="91">
        <v>40000000</v>
      </c>
      <c r="S98" s="92"/>
      <c r="T98" s="93" t="s">
        <v>113033</v>
      </c>
      <c r="U98" s="275">
        <v>12324</v>
      </c>
      <c r="V98" s="276">
        <v>40000000</v>
      </c>
      <c r="W98" s="276">
        <f t="shared" si="6"/>
        <v>0</v>
      </c>
      <c r="X98" s="276">
        <f>V98-Z98</f>
        <v>0</v>
      </c>
      <c r="Y98" s="340" t="s">
        <v>113430</v>
      </c>
      <c r="Z98" s="432">
        <v>40000000</v>
      </c>
      <c r="AA98" s="443">
        <f t="shared" si="7"/>
        <v>0</v>
      </c>
    </row>
    <row r="99" spans="2:27"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6"/>
        <v>0</v>
      </c>
      <c r="X99" s="276">
        <f>V99-Z99</f>
        <v>0</v>
      </c>
      <c r="Y99" s="340" t="s">
        <v>113504</v>
      </c>
      <c r="Z99" s="432">
        <v>4000000</v>
      </c>
      <c r="AA99" s="443">
        <f t="shared" si="7"/>
        <v>0</v>
      </c>
    </row>
    <row r="100" spans="2:27"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77">
        <f>SUM(V101:V102)</f>
        <v>11381626</v>
      </c>
      <c r="W100" s="377">
        <f t="shared" si="6"/>
        <v>1318374</v>
      </c>
      <c r="X100" s="73">
        <f>SUM(X101:X102)</f>
        <v>0</v>
      </c>
      <c r="Y100" s="334"/>
      <c r="Z100" s="403">
        <f>SUM(Z101:Z102)</f>
        <v>11381626</v>
      </c>
      <c r="AA100" s="73">
        <f t="shared" si="7"/>
        <v>1318374</v>
      </c>
    </row>
    <row r="101" spans="2:27"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si="6"/>
        <v>1318374</v>
      </c>
      <c r="X101" s="276">
        <f>V101-Z101</f>
        <v>0</v>
      </c>
      <c r="Y101" s="340" t="s">
        <v>113363</v>
      </c>
      <c r="Z101" s="432">
        <v>181626</v>
      </c>
      <c r="AA101" s="443">
        <f t="shared" si="7"/>
        <v>1318374</v>
      </c>
    </row>
    <row r="102" spans="2:27"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113271</v>
      </c>
      <c r="R102" s="91">
        <v>11200000</v>
      </c>
      <c r="S102" s="92"/>
      <c r="T102" s="93" t="s">
        <v>113061</v>
      </c>
      <c r="U102" s="275">
        <v>42924</v>
      </c>
      <c r="V102" s="276">
        <v>11200000</v>
      </c>
      <c r="W102" s="276">
        <f t="shared" si="6"/>
        <v>0</v>
      </c>
      <c r="X102" s="276">
        <f>V102-Z102</f>
        <v>0</v>
      </c>
      <c r="Y102" s="340" t="s">
        <v>113364</v>
      </c>
      <c r="Z102" s="432">
        <v>11200000</v>
      </c>
      <c r="AA102" s="443">
        <f t="shared" si="7"/>
        <v>0</v>
      </c>
    </row>
    <row r="103" spans="2:27"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476000000</v>
      </c>
      <c r="S103" s="74"/>
      <c r="T103" s="75"/>
      <c r="U103" s="71" t="s">
        <v>112994</v>
      </c>
      <c r="V103" s="377">
        <f t="shared" ref="V103:X104" si="10">SUM(V104)</f>
        <v>444416699.37</v>
      </c>
      <c r="W103" s="377">
        <f t="shared" si="6"/>
        <v>31583300.629999995</v>
      </c>
      <c r="X103" s="73">
        <f t="shared" si="10"/>
        <v>0</v>
      </c>
      <c r="Y103" s="334"/>
      <c r="Z103" s="403">
        <f>SUM(Z104)</f>
        <v>444416699.37</v>
      </c>
      <c r="AA103" s="73">
        <f t="shared" si="7"/>
        <v>31583300.629999995</v>
      </c>
    </row>
    <row r="104" spans="2:27"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476000000</v>
      </c>
      <c r="S104" s="82"/>
      <c r="T104" s="96"/>
      <c r="U104" s="79"/>
      <c r="V104" s="378">
        <f t="shared" si="10"/>
        <v>444416699.37</v>
      </c>
      <c r="W104" s="378">
        <f t="shared" si="6"/>
        <v>31583300.629999995</v>
      </c>
      <c r="X104" s="81">
        <f t="shared" si="10"/>
        <v>0</v>
      </c>
      <c r="Y104" s="335"/>
      <c r="Z104" s="404">
        <f>SUM(Z105)</f>
        <v>444416699.37</v>
      </c>
      <c r="AA104" s="81">
        <f t="shared" si="7"/>
        <v>31583300.629999995</v>
      </c>
    </row>
    <row r="105" spans="2:27"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f>
        <v>476000000</v>
      </c>
      <c r="S105" s="119"/>
      <c r="T105" s="93" t="s">
        <v>113061</v>
      </c>
      <c r="U105" s="275" t="s">
        <v>113288</v>
      </c>
      <c r="V105" s="355">
        <v>444416699.37</v>
      </c>
      <c r="W105" s="355">
        <f t="shared" si="6"/>
        <v>31583300.629999995</v>
      </c>
      <c r="X105" s="276">
        <f>V105-Z105</f>
        <v>0</v>
      </c>
      <c r="Y105" s="340" t="s">
        <v>113365</v>
      </c>
      <c r="Z105" s="435">
        <v>444416699.37</v>
      </c>
      <c r="AA105" s="443">
        <f t="shared" si="7"/>
        <v>31583300.629999995</v>
      </c>
    </row>
    <row r="106" spans="2:27" ht="30" x14ac:dyDescent="0.25">
      <c r="B106" s="59" t="s">
        <v>105516</v>
      </c>
      <c r="C106" s="59" t="s">
        <v>105573</v>
      </c>
      <c r="D106" s="59" t="s">
        <v>105573</v>
      </c>
      <c r="E106" s="59" t="s">
        <v>105573</v>
      </c>
      <c r="F106" s="59" t="s">
        <v>105550</v>
      </c>
      <c r="G106" s="59"/>
      <c r="H106" s="59"/>
      <c r="I106" s="59"/>
      <c r="J106" s="59"/>
      <c r="K106" s="60"/>
      <c r="L106" s="61"/>
      <c r="M106" s="62" t="s">
        <v>113308</v>
      </c>
      <c r="N106" s="63"/>
      <c r="O106" s="63"/>
      <c r="P106" s="64"/>
      <c r="Q106" s="64"/>
      <c r="R106" s="65">
        <f>+R107</f>
        <v>3273000000</v>
      </c>
      <c r="S106" s="66"/>
      <c r="T106" s="67"/>
      <c r="U106" s="63" t="s">
        <v>112994</v>
      </c>
      <c r="V106" s="376">
        <f>V107</f>
        <v>3272580967</v>
      </c>
      <c r="W106" s="376">
        <f t="shared" si="6"/>
        <v>419033</v>
      </c>
      <c r="X106" s="65">
        <f t="shared" ref="V106:X109" si="11">+X107</f>
        <v>0</v>
      </c>
      <c r="Y106" s="333"/>
      <c r="Z106" s="402">
        <f>+Z107</f>
        <v>3272580967</v>
      </c>
      <c r="AA106" s="65">
        <f t="shared" si="7"/>
        <v>419033</v>
      </c>
    </row>
    <row r="107" spans="2:27"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3273000000</v>
      </c>
      <c r="S107" s="74"/>
      <c r="T107" s="75"/>
      <c r="U107" s="71" t="s">
        <v>112994</v>
      </c>
      <c r="V107" s="377">
        <f t="shared" si="11"/>
        <v>3272580967</v>
      </c>
      <c r="W107" s="377">
        <f t="shared" si="6"/>
        <v>419033</v>
      </c>
      <c r="X107" s="73">
        <f t="shared" si="11"/>
        <v>0</v>
      </c>
      <c r="Y107" s="334"/>
      <c r="Z107" s="403">
        <f>+Z108</f>
        <v>3272580967</v>
      </c>
      <c r="AA107" s="73">
        <f t="shared" si="7"/>
        <v>419033</v>
      </c>
    </row>
    <row r="108" spans="2:27"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113316</v>
      </c>
      <c r="N108" s="79"/>
      <c r="O108" s="79"/>
      <c r="P108" s="80"/>
      <c r="Q108" s="80"/>
      <c r="R108" s="81">
        <f>+R109</f>
        <v>3273000000</v>
      </c>
      <c r="S108" s="82"/>
      <c r="T108" s="96"/>
      <c r="U108" s="79"/>
      <c r="V108" s="378">
        <f t="shared" si="11"/>
        <v>3272580967</v>
      </c>
      <c r="W108" s="378">
        <f t="shared" si="6"/>
        <v>419033</v>
      </c>
      <c r="X108" s="81">
        <f t="shared" si="11"/>
        <v>0</v>
      </c>
      <c r="Y108" s="335"/>
      <c r="Z108" s="404">
        <f>+Z109</f>
        <v>3272580967</v>
      </c>
      <c r="AA108" s="81">
        <f t="shared" si="7"/>
        <v>419033</v>
      </c>
    </row>
    <row r="109" spans="2:27"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78">
        <f t="shared" si="11"/>
        <v>3272580967</v>
      </c>
      <c r="W109" s="378">
        <f t="shared" si="6"/>
        <v>419033</v>
      </c>
      <c r="X109" s="81">
        <f t="shared" si="11"/>
        <v>0</v>
      </c>
      <c r="Y109" s="335"/>
      <c r="Z109" s="404">
        <f>+Z110</f>
        <v>3272580967</v>
      </c>
      <c r="AA109" s="81">
        <f t="shared" si="7"/>
        <v>419033</v>
      </c>
    </row>
    <row r="110" spans="2:27"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78">
        <f>SUM(V111:V111)</f>
        <v>3272580967</v>
      </c>
      <c r="W110" s="378">
        <f t="shared" si="6"/>
        <v>419033</v>
      </c>
      <c r="X110" s="81">
        <f>SUM(X111:X111)</f>
        <v>0</v>
      </c>
      <c r="Y110" s="335"/>
      <c r="Z110" s="404">
        <f>SUM(Z111:Z111)</f>
        <v>3272580967</v>
      </c>
      <c r="AA110" s="81">
        <f t="shared" si="7"/>
        <v>419033</v>
      </c>
    </row>
    <row r="111" spans="2:27" ht="30" x14ac:dyDescent="0.25">
      <c r="B111" s="84"/>
      <c r="C111" s="85"/>
      <c r="D111" s="85"/>
      <c r="E111" s="85"/>
      <c r="F111" s="85"/>
      <c r="G111" s="85"/>
      <c r="H111" s="85"/>
      <c r="I111" s="85"/>
      <c r="J111" s="86"/>
      <c r="K111" s="85" t="s">
        <v>106866</v>
      </c>
      <c r="L111" s="310" t="s">
        <v>113064</v>
      </c>
      <c r="M111" s="120" t="s">
        <v>106900</v>
      </c>
      <c r="N111" s="114">
        <v>45293</v>
      </c>
      <c r="O111" s="89" t="s">
        <v>113057</v>
      </c>
      <c r="P111" s="121" t="s">
        <v>113065</v>
      </c>
      <c r="Q111" s="121" t="s">
        <v>113066</v>
      </c>
      <c r="R111" s="91">
        <v>3273000000</v>
      </c>
      <c r="S111" s="91"/>
      <c r="T111" s="93" t="s">
        <v>112999</v>
      </c>
      <c r="U111" s="275">
        <v>124</v>
      </c>
      <c r="V111" s="276">
        <v>3272580967</v>
      </c>
      <c r="W111" s="276">
        <f t="shared" si="6"/>
        <v>419033</v>
      </c>
      <c r="X111" s="276">
        <f>V111-Z111</f>
        <v>0</v>
      </c>
      <c r="Y111" s="340" t="s">
        <v>113528</v>
      </c>
      <c r="Z111" s="432">
        <v>3272580967</v>
      </c>
      <c r="AA111" s="443">
        <f t="shared" si="7"/>
        <v>419033</v>
      </c>
    </row>
    <row r="112" spans="2:27"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2373975500</v>
      </c>
      <c r="S112" s="66"/>
      <c r="T112" s="67"/>
      <c r="U112" s="63" t="s">
        <v>112994</v>
      </c>
      <c r="V112" s="376">
        <f>+V113+V121+V180+V188+V194</f>
        <v>2185961979.3299999</v>
      </c>
      <c r="W112" s="376">
        <f t="shared" si="6"/>
        <v>188013520.67000008</v>
      </c>
      <c r="X112" s="65">
        <f>+X113+X121+X180+X188+X194</f>
        <v>213627906.5</v>
      </c>
      <c r="Y112" s="333"/>
      <c r="Z112" s="402">
        <f>+Z113+Z121+Z180+Z188+Z194</f>
        <v>1972334072.8299999</v>
      </c>
      <c r="AA112" s="65">
        <f t="shared" si="7"/>
        <v>401641427.17000008</v>
      </c>
    </row>
    <row r="113" spans="2:27" x14ac:dyDescent="0.25">
      <c r="B113" s="306" t="s">
        <v>105516</v>
      </c>
      <c r="C113" s="306" t="s">
        <v>105573</v>
      </c>
      <c r="D113" s="306" t="s">
        <v>105573</v>
      </c>
      <c r="E113" s="306" t="s">
        <v>105573</v>
      </c>
      <c r="F113" s="306" t="s">
        <v>105553</v>
      </c>
      <c r="G113" s="306" t="s">
        <v>105535</v>
      </c>
      <c r="H113" s="68"/>
      <c r="I113" s="68"/>
      <c r="J113" s="68"/>
      <c r="K113" s="69"/>
      <c r="L113" s="69"/>
      <c r="M113" s="70" t="s">
        <v>106988</v>
      </c>
      <c r="N113" s="71"/>
      <c r="O113" s="71"/>
      <c r="P113" s="72"/>
      <c r="Q113" s="72"/>
      <c r="R113" s="73">
        <f>+R114</f>
        <v>178200000</v>
      </c>
      <c r="S113" s="74"/>
      <c r="T113" s="75"/>
      <c r="U113" s="71" t="s">
        <v>112994</v>
      </c>
      <c r="V113" s="377">
        <f>+V114</f>
        <v>178200000</v>
      </c>
      <c r="W113" s="377">
        <f t="shared" si="6"/>
        <v>0</v>
      </c>
      <c r="X113" s="73">
        <f>+X114</f>
        <v>4300000</v>
      </c>
      <c r="Y113" s="334"/>
      <c r="Z113" s="403">
        <f>+Z114</f>
        <v>173900000</v>
      </c>
      <c r="AA113" s="73">
        <f t="shared" si="7"/>
        <v>4300000</v>
      </c>
    </row>
    <row r="114" spans="2:27"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78">
        <f>SUM(V115:V120,)</f>
        <v>178200000</v>
      </c>
      <c r="W114" s="378">
        <f t="shared" si="6"/>
        <v>0</v>
      </c>
      <c r="X114" s="81">
        <f>SUM(X115:X120,)</f>
        <v>4300000</v>
      </c>
      <c r="Y114" s="335"/>
      <c r="Z114" s="404">
        <f>SUM(Z115:Z120,)</f>
        <v>173900000</v>
      </c>
      <c r="AA114" s="81">
        <f t="shared" si="7"/>
        <v>4300000</v>
      </c>
    </row>
    <row r="115" spans="2:27" ht="123.75" customHeight="1" x14ac:dyDescent="0.25">
      <c r="B115" s="84"/>
      <c r="C115" s="85"/>
      <c r="D115" s="85"/>
      <c r="E115" s="85"/>
      <c r="F115" s="85"/>
      <c r="G115" s="85"/>
      <c r="H115" s="85"/>
      <c r="I115" s="85"/>
      <c r="J115" s="86"/>
      <c r="K115" s="86" t="s">
        <v>106987</v>
      </c>
      <c r="L115" s="87" t="s">
        <v>113270</v>
      </c>
      <c r="M115" s="88" t="s">
        <v>113070</v>
      </c>
      <c r="N115" s="89">
        <v>45301</v>
      </c>
      <c r="O115" s="89" t="s">
        <v>113164</v>
      </c>
      <c r="P115" s="90" t="s">
        <v>113009</v>
      </c>
      <c r="Q115" s="90" t="s">
        <v>113068</v>
      </c>
      <c r="R115" s="91">
        <f>62700000/2-9450000</f>
        <v>21900000</v>
      </c>
      <c r="S115" s="92"/>
      <c r="T115" s="88" t="s">
        <v>113071</v>
      </c>
      <c r="U115" s="275">
        <v>4124</v>
      </c>
      <c r="V115" s="276">
        <v>21900000</v>
      </c>
      <c r="W115" s="276">
        <f t="shared" si="6"/>
        <v>0</v>
      </c>
      <c r="X115" s="276">
        <f t="shared" ref="X115:X120" si="12">V115-Z115</f>
        <v>0</v>
      </c>
      <c r="Y115" s="340" t="s">
        <v>113366</v>
      </c>
      <c r="Z115" s="432">
        <v>21900000</v>
      </c>
      <c r="AA115" s="443">
        <f t="shared" si="7"/>
        <v>0</v>
      </c>
    </row>
    <row r="116" spans="2:27" ht="123.75" customHeight="1" x14ac:dyDescent="0.25">
      <c r="B116" s="84"/>
      <c r="C116" s="85"/>
      <c r="D116" s="85"/>
      <c r="E116" s="85"/>
      <c r="F116" s="85"/>
      <c r="G116" s="85"/>
      <c r="H116" s="85"/>
      <c r="I116" s="85"/>
      <c r="J116" s="86"/>
      <c r="K116" s="86" t="s">
        <v>106987</v>
      </c>
      <c r="L116" s="87" t="s">
        <v>113270</v>
      </c>
      <c r="M116" s="88" t="s">
        <v>113070</v>
      </c>
      <c r="N116" s="89">
        <v>45475</v>
      </c>
      <c r="O116" s="89" t="s">
        <v>112996</v>
      </c>
      <c r="P116" s="90" t="s">
        <v>113133</v>
      </c>
      <c r="Q116" s="90" t="s">
        <v>113068</v>
      </c>
      <c r="R116" s="91">
        <v>32300000</v>
      </c>
      <c r="S116" s="92"/>
      <c r="T116" s="88" t="s">
        <v>113071</v>
      </c>
      <c r="U116" s="275">
        <v>63524</v>
      </c>
      <c r="V116" s="276">
        <v>32300000</v>
      </c>
      <c r="W116" s="276">
        <f t="shared" si="6"/>
        <v>0</v>
      </c>
      <c r="X116" s="276">
        <f t="shared" si="12"/>
        <v>3800000</v>
      </c>
      <c r="Y116" s="340" t="s">
        <v>113353</v>
      </c>
      <c r="Z116" s="432">
        <v>28500000</v>
      </c>
      <c r="AA116" s="443">
        <f t="shared" si="7"/>
        <v>3800000</v>
      </c>
    </row>
    <row r="117" spans="2:27" ht="68.25" customHeight="1" x14ac:dyDescent="0.25">
      <c r="B117" s="84"/>
      <c r="C117" s="85"/>
      <c r="D117" s="85"/>
      <c r="E117" s="85"/>
      <c r="F117" s="85"/>
      <c r="G117" s="85"/>
      <c r="H117" s="85"/>
      <c r="I117" s="85"/>
      <c r="J117" s="86"/>
      <c r="K117" s="86" t="s">
        <v>106987</v>
      </c>
      <c r="L117" s="87" t="s">
        <v>113270</v>
      </c>
      <c r="M117" s="88" t="s">
        <v>113265</v>
      </c>
      <c r="N117" s="89">
        <v>45300</v>
      </c>
      <c r="O117" s="89" t="s">
        <v>113240</v>
      </c>
      <c r="P117" s="90" t="s">
        <v>113170</v>
      </c>
      <c r="Q117" s="90" t="s">
        <v>113051</v>
      </c>
      <c r="R117" s="91">
        <f>62700000/2</f>
        <v>31350000</v>
      </c>
      <c r="S117" s="92"/>
      <c r="T117" s="93" t="s">
        <v>113069</v>
      </c>
      <c r="U117" s="275">
        <v>4024</v>
      </c>
      <c r="V117" s="276">
        <v>31350000</v>
      </c>
      <c r="W117" s="276">
        <f t="shared" si="6"/>
        <v>0</v>
      </c>
      <c r="X117" s="276">
        <f t="shared" si="12"/>
        <v>0</v>
      </c>
      <c r="Y117" s="340" t="s">
        <v>113367</v>
      </c>
      <c r="Z117" s="432">
        <v>31350000</v>
      </c>
      <c r="AA117" s="443">
        <f t="shared" si="7"/>
        <v>0</v>
      </c>
    </row>
    <row r="118" spans="2:27" ht="68.25" customHeight="1" x14ac:dyDescent="0.25">
      <c r="B118" s="84"/>
      <c r="C118" s="85"/>
      <c r="D118" s="85"/>
      <c r="E118" s="85"/>
      <c r="F118" s="85"/>
      <c r="G118" s="85"/>
      <c r="H118" s="85"/>
      <c r="I118" s="85"/>
      <c r="J118" s="86"/>
      <c r="K118" s="86" t="s">
        <v>106987</v>
      </c>
      <c r="L118" s="87" t="s">
        <v>113270</v>
      </c>
      <c r="M118" s="88" t="s">
        <v>113265</v>
      </c>
      <c r="N118" s="89">
        <v>45475</v>
      </c>
      <c r="O118" s="89" t="s">
        <v>112996</v>
      </c>
      <c r="P118" s="90" t="s">
        <v>113133</v>
      </c>
      <c r="Q118" s="90" t="s">
        <v>113068</v>
      </c>
      <c r="R118" s="91">
        <v>32300000</v>
      </c>
      <c r="S118" s="92"/>
      <c r="T118" s="93" t="s">
        <v>113069</v>
      </c>
      <c r="U118" s="275">
        <v>59524</v>
      </c>
      <c r="V118" s="276">
        <v>32300000</v>
      </c>
      <c r="W118" s="276">
        <f t="shared" si="6"/>
        <v>0</v>
      </c>
      <c r="X118" s="276">
        <f t="shared" si="12"/>
        <v>0</v>
      </c>
      <c r="Y118" s="340" t="s">
        <v>113368</v>
      </c>
      <c r="Z118" s="432">
        <v>32300000</v>
      </c>
      <c r="AA118" s="443">
        <f t="shared" si="7"/>
        <v>0</v>
      </c>
    </row>
    <row r="119" spans="2:27" ht="123.75" customHeight="1" x14ac:dyDescent="0.25">
      <c r="B119" s="84"/>
      <c r="C119" s="85"/>
      <c r="D119" s="85"/>
      <c r="E119" s="85"/>
      <c r="F119" s="85"/>
      <c r="G119" s="85"/>
      <c r="H119" s="85"/>
      <c r="I119" s="85"/>
      <c r="J119" s="86"/>
      <c r="K119" s="86" t="s">
        <v>106987</v>
      </c>
      <c r="L119" s="87" t="s">
        <v>113270</v>
      </c>
      <c r="M119" s="88" t="s">
        <v>113266</v>
      </c>
      <c r="N119" s="89">
        <v>45300</v>
      </c>
      <c r="O119" s="89" t="s">
        <v>113240</v>
      </c>
      <c r="P119" s="90" t="s">
        <v>113267</v>
      </c>
      <c r="Q119" s="90" t="s">
        <v>113051</v>
      </c>
      <c r="R119" s="91">
        <f>31500000-150000</f>
        <v>31350000</v>
      </c>
      <c r="S119" s="92"/>
      <c r="T119" s="93" t="s">
        <v>113069</v>
      </c>
      <c r="U119" s="275">
        <v>4624</v>
      </c>
      <c r="V119" s="276">
        <v>31350000</v>
      </c>
      <c r="W119" s="276">
        <f t="shared" si="6"/>
        <v>0</v>
      </c>
      <c r="X119" s="276">
        <f t="shared" si="12"/>
        <v>0</v>
      </c>
      <c r="Y119" s="340" t="s">
        <v>113453</v>
      </c>
      <c r="Z119" s="432">
        <v>31350000</v>
      </c>
      <c r="AA119" s="443">
        <f t="shared" si="7"/>
        <v>0</v>
      </c>
    </row>
    <row r="120" spans="2:27" ht="123.75" customHeight="1" x14ac:dyDescent="0.25">
      <c r="B120" s="84"/>
      <c r="C120" s="85"/>
      <c r="D120" s="85"/>
      <c r="E120" s="85"/>
      <c r="F120" s="85"/>
      <c r="G120" s="85"/>
      <c r="H120" s="85"/>
      <c r="I120" s="85"/>
      <c r="J120" s="86"/>
      <c r="K120" s="86" t="s">
        <v>106987</v>
      </c>
      <c r="L120" s="87" t="s">
        <v>113270</v>
      </c>
      <c r="M120" s="88" t="s">
        <v>113283</v>
      </c>
      <c r="N120" s="89">
        <v>45475</v>
      </c>
      <c r="O120" s="89" t="s">
        <v>112996</v>
      </c>
      <c r="P120" s="90" t="s">
        <v>113133</v>
      </c>
      <c r="Q120" s="90" t="s">
        <v>113051</v>
      </c>
      <c r="R120" s="94">
        <v>29000000</v>
      </c>
      <c r="S120" s="92"/>
      <c r="T120" s="93" t="s">
        <v>113069</v>
      </c>
      <c r="U120" s="275">
        <v>60624</v>
      </c>
      <c r="V120" s="276">
        <v>29000000</v>
      </c>
      <c r="W120" s="276">
        <f t="shared" si="6"/>
        <v>0</v>
      </c>
      <c r="X120" s="276">
        <f t="shared" si="12"/>
        <v>500000</v>
      </c>
      <c r="Y120" s="340" t="s">
        <v>113369</v>
      </c>
      <c r="Z120" s="432">
        <v>28500000</v>
      </c>
      <c r="AA120" s="443">
        <f t="shared" si="7"/>
        <v>500000</v>
      </c>
    </row>
    <row r="121" spans="2:27" ht="54" customHeight="1" x14ac:dyDescent="0.25">
      <c r="B121" s="306" t="s">
        <v>105516</v>
      </c>
      <c r="C121" s="306" t="s">
        <v>105573</v>
      </c>
      <c r="D121" s="306" t="s">
        <v>105573</v>
      </c>
      <c r="E121" s="306" t="s">
        <v>105573</v>
      </c>
      <c r="F121" s="306" t="s">
        <v>105553</v>
      </c>
      <c r="G121" s="306" t="s">
        <v>105538</v>
      </c>
      <c r="H121" s="68"/>
      <c r="I121" s="68"/>
      <c r="J121" s="68"/>
      <c r="K121" s="69"/>
      <c r="L121" s="69"/>
      <c r="M121" s="70" t="s">
        <v>113309</v>
      </c>
      <c r="N121" s="71"/>
      <c r="O121" s="71"/>
      <c r="P121" s="72"/>
      <c r="Q121" s="72"/>
      <c r="R121" s="73">
        <f>+R122</f>
        <v>1880793872</v>
      </c>
      <c r="S121" s="74"/>
      <c r="T121" s="122"/>
      <c r="U121" s="71" t="s">
        <v>112994</v>
      </c>
      <c r="V121" s="377">
        <f>+V122</f>
        <v>1727134499.3299999</v>
      </c>
      <c r="W121" s="377">
        <f t="shared" si="6"/>
        <v>153659372.67000008</v>
      </c>
      <c r="X121" s="73">
        <f>+X122</f>
        <v>120166278.5</v>
      </c>
      <c r="Y121" s="334"/>
      <c r="Z121" s="403">
        <f>+Z122</f>
        <v>1606968220.8299999</v>
      </c>
      <c r="AA121" s="73">
        <f t="shared" si="7"/>
        <v>273825651.17000008</v>
      </c>
    </row>
    <row r="122" spans="2:27"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1880793872</v>
      </c>
      <c r="S122" s="82"/>
      <c r="T122" s="96"/>
      <c r="U122" s="79"/>
      <c r="V122" s="378">
        <f>+V123+V169+V171</f>
        <v>1727134499.3299999</v>
      </c>
      <c r="W122" s="378">
        <f t="shared" si="6"/>
        <v>153659372.67000008</v>
      </c>
      <c r="X122" s="81">
        <f>+X123+X169+X171</f>
        <v>120166278.5</v>
      </c>
      <c r="Y122" s="335"/>
      <c r="Z122" s="404">
        <f>+Z123+Z169+Z171</f>
        <v>1606968220.8299999</v>
      </c>
      <c r="AA122" s="81">
        <f t="shared" si="7"/>
        <v>273825651.17000008</v>
      </c>
    </row>
    <row r="123" spans="2:27"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1768398206</v>
      </c>
      <c r="S123" s="82"/>
      <c r="T123" s="96"/>
      <c r="U123" s="79"/>
      <c r="V123" s="378">
        <f>SUM(V124:V168)</f>
        <v>1617338833.3299999</v>
      </c>
      <c r="W123" s="378">
        <f t="shared" si="6"/>
        <v>151059372.67000008</v>
      </c>
      <c r="X123" s="81">
        <f>SUM(X124:X168)</f>
        <v>106683947.17</v>
      </c>
      <c r="Y123" s="335"/>
      <c r="Z123" s="404">
        <f>SUM(Z124:Z168)</f>
        <v>1510654886.1599998</v>
      </c>
      <c r="AA123" s="81">
        <f t="shared" si="7"/>
        <v>257743319.84000015</v>
      </c>
    </row>
    <row r="124" spans="2:27" ht="45" x14ac:dyDescent="0.25">
      <c r="B124" s="84"/>
      <c r="C124" s="85"/>
      <c r="D124" s="85"/>
      <c r="E124" s="85"/>
      <c r="F124" s="85"/>
      <c r="G124" s="85"/>
      <c r="H124" s="85"/>
      <c r="I124" s="85"/>
      <c r="J124" s="86"/>
      <c r="K124" s="86" t="s">
        <v>106997</v>
      </c>
      <c r="L124" s="51">
        <v>81101500</v>
      </c>
      <c r="M124" s="97" t="s">
        <v>113178</v>
      </c>
      <c r="N124" s="89">
        <v>45322</v>
      </c>
      <c r="O124" s="89" t="s">
        <v>113035</v>
      </c>
      <c r="P124" s="90" t="s">
        <v>113020</v>
      </c>
      <c r="Q124" s="90" t="s">
        <v>113177</v>
      </c>
      <c r="R124" s="91">
        <v>0</v>
      </c>
      <c r="S124" s="123"/>
      <c r="T124" s="93" t="s">
        <v>113076</v>
      </c>
      <c r="U124" s="277"/>
      <c r="V124" s="276"/>
      <c r="W124" s="276">
        <f t="shared" si="6"/>
        <v>0</v>
      </c>
      <c r="X124" s="276">
        <f t="shared" ref="X124:X168" si="13">V124-Z124</f>
        <v>0</v>
      </c>
      <c r="Y124" s="340"/>
      <c r="Z124" s="432"/>
      <c r="AA124" s="443">
        <f t="shared" si="7"/>
        <v>0</v>
      </c>
    </row>
    <row r="125" spans="2:27" ht="68.25" customHeight="1" x14ac:dyDescent="0.25">
      <c r="B125" s="84"/>
      <c r="C125" s="85"/>
      <c r="D125" s="85"/>
      <c r="E125" s="85"/>
      <c r="F125" s="85"/>
      <c r="G125" s="85"/>
      <c r="H125" s="85"/>
      <c r="I125" s="85"/>
      <c r="J125" s="86"/>
      <c r="K125" s="86" t="s">
        <v>106997</v>
      </c>
      <c r="L125" s="51">
        <v>81101500</v>
      </c>
      <c r="M125" s="97" t="s">
        <v>113268</v>
      </c>
      <c r="N125" s="89">
        <v>45322</v>
      </c>
      <c r="O125" s="89" t="s">
        <v>113035</v>
      </c>
      <c r="P125" s="90" t="s">
        <v>113020</v>
      </c>
      <c r="Q125" s="90" t="s">
        <v>113177</v>
      </c>
      <c r="R125" s="91">
        <f>(25909000+150000)-22000000</f>
        <v>4059000</v>
      </c>
      <c r="S125" s="98"/>
      <c r="T125" s="95" t="s">
        <v>113076</v>
      </c>
      <c r="U125" s="277"/>
      <c r="V125" s="276"/>
      <c r="W125" s="276">
        <f t="shared" si="6"/>
        <v>4059000</v>
      </c>
      <c r="X125" s="276">
        <f t="shared" si="13"/>
        <v>0</v>
      </c>
      <c r="Y125" s="340"/>
      <c r="Z125" s="432"/>
      <c r="AA125" s="443">
        <f t="shared" si="7"/>
        <v>4059000</v>
      </c>
    </row>
    <row r="126" spans="2:27" ht="141.75" customHeight="1" x14ac:dyDescent="0.25">
      <c r="B126" s="84"/>
      <c r="C126" s="85"/>
      <c r="D126" s="85"/>
      <c r="E126" s="85"/>
      <c r="F126" s="85"/>
      <c r="G126" s="85"/>
      <c r="H126" s="85"/>
      <c r="I126" s="85"/>
      <c r="J126" s="86"/>
      <c r="K126" s="86" t="s">
        <v>106997</v>
      </c>
      <c r="L126" s="51">
        <v>80101500</v>
      </c>
      <c r="M126" s="97" t="s">
        <v>113326</v>
      </c>
      <c r="N126" s="89">
        <v>45460</v>
      </c>
      <c r="O126" s="89" t="s">
        <v>113167</v>
      </c>
      <c r="P126" s="90" t="s">
        <v>113001</v>
      </c>
      <c r="Q126" s="90" t="s">
        <v>113068</v>
      </c>
      <c r="R126" s="91">
        <f>62700000/2+6650000</f>
        <v>38000000</v>
      </c>
      <c r="S126" s="92"/>
      <c r="T126" s="95" t="s">
        <v>113010</v>
      </c>
      <c r="U126" s="275">
        <v>30324</v>
      </c>
      <c r="V126" s="276">
        <f>31350000+2850000</f>
        <v>34200000</v>
      </c>
      <c r="W126" s="276">
        <f t="shared" si="6"/>
        <v>3800000</v>
      </c>
      <c r="X126" s="276">
        <f t="shared" si="13"/>
        <v>0</v>
      </c>
      <c r="Y126" s="340" t="s">
        <v>113397</v>
      </c>
      <c r="Z126" s="432">
        <v>34200000</v>
      </c>
      <c r="AA126" s="443">
        <f t="shared" si="7"/>
        <v>3800000</v>
      </c>
    </row>
    <row r="127" spans="2:27"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275">
        <v>92624</v>
      </c>
      <c r="V127" s="276">
        <v>23000000</v>
      </c>
      <c r="W127" s="276">
        <f t="shared" si="6"/>
        <v>0</v>
      </c>
      <c r="X127" s="276">
        <f>V127-Z127</f>
        <v>23000000</v>
      </c>
      <c r="Y127" s="340"/>
      <c r="Z127" s="432"/>
      <c r="AA127" s="443">
        <f t="shared" si="7"/>
        <v>23000000</v>
      </c>
    </row>
    <row r="128" spans="2:27" ht="45" x14ac:dyDescent="0.25">
      <c r="B128" s="84"/>
      <c r="C128" s="85"/>
      <c r="D128" s="85"/>
      <c r="E128" s="85"/>
      <c r="F128" s="85"/>
      <c r="G128" s="85"/>
      <c r="H128" s="85"/>
      <c r="I128" s="85"/>
      <c r="J128" s="86"/>
      <c r="K128" s="86" t="s">
        <v>106997</v>
      </c>
      <c r="L128" s="87" t="s">
        <v>113079</v>
      </c>
      <c r="M128" s="97" t="s">
        <v>113080</v>
      </c>
      <c r="N128" s="89">
        <v>45308</v>
      </c>
      <c r="O128" s="89" t="s">
        <v>113035</v>
      </c>
      <c r="P128" s="90" t="s">
        <v>113020</v>
      </c>
      <c r="Q128" s="90" t="s">
        <v>112998</v>
      </c>
      <c r="R128" s="91">
        <f>40000000-2611012.17</f>
        <v>37388987.829999998</v>
      </c>
      <c r="S128" s="92"/>
      <c r="T128" s="88" t="s">
        <v>113002</v>
      </c>
      <c r="U128" s="275">
        <v>3424</v>
      </c>
      <c r="V128" s="276">
        <f>40000000-2611012.17</f>
        <v>37388987.829999998</v>
      </c>
      <c r="W128" s="276">
        <f t="shared" si="6"/>
        <v>0</v>
      </c>
      <c r="X128" s="276">
        <f t="shared" si="13"/>
        <v>0</v>
      </c>
      <c r="Y128" s="340" t="s">
        <v>113390</v>
      </c>
      <c r="Z128" s="432">
        <v>37388987.829999998</v>
      </c>
      <c r="AA128" s="443">
        <f t="shared" si="7"/>
        <v>0</v>
      </c>
    </row>
    <row r="129" spans="2:28" ht="45" x14ac:dyDescent="0.25">
      <c r="B129" s="84"/>
      <c r="C129" s="85"/>
      <c r="D129" s="85"/>
      <c r="E129" s="85"/>
      <c r="F129" s="85"/>
      <c r="G129" s="85"/>
      <c r="H129" s="85"/>
      <c r="I129" s="85"/>
      <c r="J129" s="86"/>
      <c r="K129" s="86" t="s">
        <v>106997</v>
      </c>
      <c r="L129" s="51">
        <v>81111800</v>
      </c>
      <c r="M129" s="97" t="s">
        <v>113081</v>
      </c>
      <c r="N129" s="89">
        <v>45308</v>
      </c>
      <c r="O129" s="89" t="s">
        <v>113035</v>
      </c>
      <c r="P129" s="90" t="s">
        <v>113020</v>
      </c>
      <c r="Q129" s="90" t="s">
        <v>112998</v>
      </c>
      <c r="R129" s="91">
        <f>71000000+29000000</f>
        <v>100000000</v>
      </c>
      <c r="S129" s="92"/>
      <c r="T129" s="88" t="s">
        <v>113002</v>
      </c>
      <c r="U129" s="275">
        <v>3924</v>
      </c>
      <c r="V129" s="276">
        <v>100000000</v>
      </c>
      <c r="W129" s="276">
        <f t="shared" si="6"/>
        <v>0</v>
      </c>
      <c r="X129" s="276">
        <f t="shared" si="13"/>
        <v>0</v>
      </c>
      <c r="Y129" s="340" t="s">
        <v>113398</v>
      </c>
      <c r="Z129" s="432">
        <v>100000000</v>
      </c>
      <c r="AA129" s="443">
        <f t="shared" si="7"/>
        <v>0</v>
      </c>
    </row>
    <row r="130" spans="2:28" ht="45" x14ac:dyDescent="0.25">
      <c r="B130" s="84"/>
      <c r="C130" s="85"/>
      <c r="D130" s="85"/>
      <c r="E130" s="85"/>
      <c r="F130" s="85"/>
      <c r="G130" s="85"/>
      <c r="H130" s="85"/>
      <c r="I130" s="85"/>
      <c r="J130" s="86"/>
      <c r="K130" s="86" t="s">
        <v>106997</v>
      </c>
      <c r="L130" s="51">
        <v>81111500</v>
      </c>
      <c r="M130" s="97" t="s">
        <v>113083</v>
      </c>
      <c r="N130" s="89">
        <v>45300</v>
      </c>
      <c r="O130" s="89" t="s">
        <v>113035</v>
      </c>
      <c r="P130" s="90" t="s">
        <v>113009</v>
      </c>
      <c r="Q130" s="90" t="s">
        <v>113051</v>
      </c>
      <c r="R130" s="91">
        <f>(4100000*11)/2-1300000</f>
        <v>21250000</v>
      </c>
      <c r="S130" s="92"/>
      <c r="T130" s="88" t="s">
        <v>113002</v>
      </c>
      <c r="U130" s="275">
        <v>3524</v>
      </c>
      <c r="V130" s="276">
        <f>22500000-1300000</f>
        <v>21200000</v>
      </c>
      <c r="W130" s="276">
        <f t="shared" si="6"/>
        <v>50000</v>
      </c>
      <c r="X130" s="276">
        <f t="shared" si="13"/>
        <v>700000</v>
      </c>
      <c r="Y130" s="340" t="s">
        <v>113382</v>
      </c>
      <c r="Z130" s="432">
        <v>20500000</v>
      </c>
      <c r="AA130" s="443">
        <f t="shared" si="7"/>
        <v>750000</v>
      </c>
      <c r="AB130" s="425">
        <v>750000</v>
      </c>
    </row>
    <row r="131" spans="2:28" ht="60" x14ac:dyDescent="0.25">
      <c r="B131" s="84"/>
      <c r="C131" s="85"/>
      <c r="D131" s="85"/>
      <c r="E131" s="85"/>
      <c r="F131" s="85"/>
      <c r="G131" s="85"/>
      <c r="H131" s="85"/>
      <c r="I131" s="85"/>
      <c r="J131" s="86"/>
      <c r="K131" s="86" t="s">
        <v>106997</v>
      </c>
      <c r="L131" s="51">
        <v>81111500</v>
      </c>
      <c r="M131" s="97" t="s">
        <v>113338</v>
      </c>
      <c r="N131" s="89">
        <v>45506</v>
      </c>
      <c r="O131" s="89" t="s">
        <v>113008</v>
      </c>
      <c r="P131" s="90" t="s">
        <v>113297</v>
      </c>
      <c r="Q131" s="90" t="s">
        <v>113051</v>
      </c>
      <c r="R131" s="91">
        <f>19200000+1300000</f>
        <v>20500000</v>
      </c>
      <c r="S131" s="92"/>
      <c r="T131" s="88" t="s">
        <v>113002</v>
      </c>
      <c r="U131" s="275">
        <v>58324</v>
      </c>
      <c r="V131" s="319">
        <v>20090000</v>
      </c>
      <c r="W131" s="319">
        <f t="shared" si="6"/>
        <v>410000</v>
      </c>
      <c r="X131" s="276">
        <f t="shared" si="13"/>
        <v>0</v>
      </c>
      <c r="Y131" s="344" t="s">
        <v>113455</v>
      </c>
      <c r="Z131" s="432">
        <v>20090000</v>
      </c>
      <c r="AA131" s="443">
        <f t="shared" si="7"/>
        <v>410000</v>
      </c>
      <c r="AB131" s="425">
        <v>410000</v>
      </c>
    </row>
    <row r="132" spans="2:28" ht="45" x14ac:dyDescent="0.25">
      <c r="B132" s="84"/>
      <c r="C132" s="85"/>
      <c r="D132" s="85"/>
      <c r="E132" s="85"/>
      <c r="F132" s="85"/>
      <c r="G132" s="85"/>
      <c r="H132" s="85"/>
      <c r="I132" s="85"/>
      <c r="J132" s="86"/>
      <c r="K132" s="86" t="s">
        <v>106997</v>
      </c>
      <c r="L132" s="51">
        <v>81111500</v>
      </c>
      <c r="M132" s="97" t="s">
        <v>113233</v>
      </c>
      <c r="N132" s="89">
        <v>45300</v>
      </c>
      <c r="O132" s="89" t="s">
        <v>113035</v>
      </c>
      <c r="P132" s="90" t="s">
        <v>113009</v>
      </c>
      <c r="Q132" s="90" t="s">
        <v>113051</v>
      </c>
      <c r="R132" s="91">
        <f>66000000/2-3000000</f>
        <v>30000000</v>
      </c>
      <c r="S132" s="92"/>
      <c r="T132" s="88" t="s">
        <v>113002</v>
      </c>
      <c r="U132" s="275">
        <v>28824</v>
      </c>
      <c r="V132" s="276">
        <f>33000000-3000000</f>
        <v>30000000</v>
      </c>
      <c r="W132" s="276">
        <f t="shared" si="6"/>
        <v>0</v>
      </c>
      <c r="X132" s="276">
        <f t="shared" si="13"/>
        <v>0</v>
      </c>
      <c r="Y132" s="340" t="s">
        <v>113383</v>
      </c>
      <c r="Z132" s="432">
        <v>30000000</v>
      </c>
      <c r="AA132" s="443">
        <f t="shared" si="7"/>
        <v>0</v>
      </c>
    </row>
    <row r="133" spans="2:28" ht="75" x14ac:dyDescent="0.25">
      <c r="B133" s="84"/>
      <c r="C133" s="85"/>
      <c r="D133" s="85"/>
      <c r="E133" s="85"/>
      <c r="F133" s="85"/>
      <c r="G133" s="85"/>
      <c r="H133" s="85"/>
      <c r="I133" s="85"/>
      <c r="J133" s="86"/>
      <c r="K133" s="86" t="s">
        <v>106997</v>
      </c>
      <c r="L133" s="51">
        <v>81111500</v>
      </c>
      <c r="M133" s="97" t="s">
        <v>113463</v>
      </c>
      <c r="N133" s="89">
        <v>45550</v>
      </c>
      <c r="O133" s="89" t="s">
        <v>113074</v>
      </c>
      <c r="P133" s="90" t="s">
        <v>112997</v>
      </c>
      <c r="Q133" s="90" t="s">
        <v>113051</v>
      </c>
      <c r="R133" s="91">
        <f>21000000+3500000</f>
        <v>24500000</v>
      </c>
      <c r="S133" s="92"/>
      <c r="T133" s="88" t="s">
        <v>113002</v>
      </c>
      <c r="U133" s="275">
        <v>92724</v>
      </c>
      <c r="V133" s="276">
        <v>24500000</v>
      </c>
      <c r="W133" s="276">
        <f t="shared" si="6"/>
        <v>0</v>
      </c>
      <c r="X133" s="276">
        <f t="shared" si="13"/>
        <v>12500000</v>
      </c>
      <c r="Y133" s="340" t="s">
        <v>113524</v>
      </c>
      <c r="Z133" s="432">
        <v>12000000</v>
      </c>
      <c r="AA133" s="443">
        <f t="shared" si="7"/>
        <v>12500000</v>
      </c>
      <c r="AB133" s="425">
        <v>9450000</v>
      </c>
    </row>
    <row r="134" spans="2:28" ht="45" x14ac:dyDescent="0.25">
      <c r="B134" s="84"/>
      <c r="C134" s="85"/>
      <c r="D134" s="85"/>
      <c r="E134" s="85"/>
      <c r="F134" s="85"/>
      <c r="G134" s="85"/>
      <c r="H134" s="85"/>
      <c r="I134" s="85"/>
      <c r="J134" s="86"/>
      <c r="K134" s="86" t="s">
        <v>106997</v>
      </c>
      <c r="L134" s="51">
        <v>81111500</v>
      </c>
      <c r="M134" s="97" t="s">
        <v>113234</v>
      </c>
      <c r="N134" s="89">
        <v>45300</v>
      </c>
      <c r="O134" s="89" t="s">
        <v>113035</v>
      </c>
      <c r="P134" s="90" t="s">
        <v>113009</v>
      </c>
      <c r="Q134" s="90" t="s">
        <v>113051</v>
      </c>
      <c r="R134" s="91">
        <f>88000000/2-4000000</f>
        <v>40000000</v>
      </c>
      <c r="S134" s="92"/>
      <c r="T134" s="88" t="s">
        <v>113002</v>
      </c>
      <c r="U134" s="275">
        <v>3624</v>
      </c>
      <c r="V134" s="276">
        <v>40000000</v>
      </c>
      <c r="W134" s="276">
        <f t="shared" si="6"/>
        <v>0</v>
      </c>
      <c r="X134" s="276">
        <f t="shared" si="13"/>
        <v>0</v>
      </c>
      <c r="Y134" s="340" t="s">
        <v>113376</v>
      </c>
      <c r="Z134" s="432">
        <v>40000000</v>
      </c>
      <c r="AA134" s="443">
        <f t="shared" si="7"/>
        <v>0</v>
      </c>
    </row>
    <row r="135" spans="2:28" ht="102" customHeight="1" x14ac:dyDescent="0.25">
      <c r="B135" s="84"/>
      <c r="C135" s="85"/>
      <c r="D135" s="85"/>
      <c r="E135" s="85"/>
      <c r="F135" s="85"/>
      <c r="G135" s="85"/>
      <c r="H135" s="85"/>
      <c r="I135" s="85"/>
      <c r="J135" s="86"/>
      <c r="K135" s="86" t="s">
        <v>106997</v>
      </c>
      <c r="L135" s="51">
        <v>81111500</v>
      </c>
      <c r="M135" s="97" t="s">
        <v>113331</v>
      </c>
      <c r="N135" s="89">
        <v>45475</v>
      </c>
      <c r="O135" s="89" t="s">
        <v>112996</v>
      </c>
      <c r="P135" s="90" t="s">
        <v>113298</v>
      </c>
      <c r="Q135" s="90" t="s">
        <v>113051</v>
      </c>
      <c r="R135" s="91">
        <f>45400000+4000000</f>
        <v>49400000</v>
      </c>
      <c r="S135" s="92"/>
      <c r="T135" s="88" t="s">
        <v>113002</v>
      </c>
      <c r="U135" s="275">
        <v>58324</v>
      </c>
      <c r="V135" s="319">
        <v>47200000</v>
      </c>
      <c r="W135" s="319">
        <f t="shared" si="6"/>
        <v>2200000</v>
      </c>
      <c r="X135" s="276">
        <f t="shared" si="13"/>
        <v>0</v>
      </c>
      <c r="Y135" s="344" t="s">
        <v>113354</v>
      </c>
      <c r="Z135" s="432">
        <v>47200000</v>
      </c>
      <c r="AA135" s="443">
        <f t="shared" si="7"/>
        <v>2200000</v>
      </c>
      <c r="AB135" s="425">
        <v>2200000</v>
      </c>
    </row>
    <row r="136" spans="2:28" ht="45" x14ac:dyDescent="0.25">
      <c r="B136" s="84"/>
      <c r="C136" s="85"/>
      <c r="D136" s="85"/>
      <c r="E136" s="85"/>
      <c r="F136" s="85"/>
      <c r="G136" s="85"/>
      <c r="H136" s="85"/>
      <c r="I136" s="85"/>
      <c r="J136" s="86"/>
      <c r="K136" s="86" t="s">
        <v>106997</v>
      </c>
      <c r="L136" s="51">
        <v>81111500</v>
      </c>
      <c r="M136" s="97" t="s">
        <v>113235</v>
      </c>
      <c r="N136" s="89">
        <v>45300</v>
      </c>
      <c r="O136" s="89" t="s">
        <v>113035</v>
      </c>
      <c r="P136" s="90" t="s">
        <v>113009</v>
      </c>
      <c r="Q136" s="90" t="s">
        <v>113051</v>
      </c>
      <c r="R136" s="91">
        <f>82500000/2+12000000</f>
        <v>53250000</v>
      </c>
      <c r="S136" s="92"/>
      <c r="T136" s="88" t="s">
        <v>113002</v>
      </c>
      <c r="U136" s="275">
        <v>35024</v>
      </c>
      <c r="V136" s="276">
        <v>41250000</v>
      </c>
      <c r="W136" s="276">
        <f t="shared" ref="W136:W199" si="14">R136-V136</f>
        <v>12000000</v>
      </c>
      <c r="X136" s="276">
        <f t="shared" si="13"/>
        <v>5250000</v>
      </c>
      <c r="Y136" s="340" t="s">
        <v>113386</v>
      </c>
      <c r="Z136" s="432">
        <v>36000000</v>
      </c>
      <c r="AA136" s="443">
        <f t="shared" ref="AA136:AA199" si="15">R136-Z136</f>
        <v>17250000</v>
      </c>
      <c r="AB136" s="425">
        <v>17250000</v>
      </c>
    </row>
    <row r="137" spans="2:28" ht="67.5" customHeight="1" x14ac:dyDescent="0.25">
      <c r="B137" s="84"/>
      <c r="C137" s="85"/>
      <c r="D137" s="85"/>
      <c r="E137" s="85"/>
      <c r="F137" s="85"/>
      <c r="G137" s="85"/>
      <c r="H137" s="85"/>
      <c r="I137" s="85"/>
      <c r="J137" s="86"/>
      <c r="K137" s="86" t="s">
        <v>106997</v>
      </c>
      <c r="L137" s="51">
        <v>81111500</v>
      </c>
      <c r="M137" s="97" t="s">
        <v>113513</v>
      </c>
      <c r="N137" s="89">
        <v>45458</v>
      </c>
      <c r="O137" s="89" t="s">
        <v>112996</v>
      </c>
      <c r="P137" s="90" t="s">
        <v>113001</v>
      </c>
      <c r="Q137" s="90" t="s">
        <v>113051</v>
      </c>
      <c r="R137" s="94">
        <f>45000000-3500000</f>
        <v>41500000</v>
      </c>
      <c r="S137" s="92"/>
      <c r="T137" s="88" t="s">
        <v>113002</v>
      </c>
      <c r="U137" s="275">
        <v>58324</v>
      </c>
      <c r="V137" s="319">
        <v>37500000</v>
      </c>
      <c r="W137" s="319">
        <f t="shared" si="14"/>
        <v>4000000</v>
      </c>
      <c r="X137" s="276">
        <f t="shared" si="13"/>
        <v>0</v>
      </c>
      <c r="Y137" s="344" t="s">
        <v>113448</v>
      </c>
      <c r="Z137" s="432">
        <v>37500000</v>
      </c>
      <c r="AA137" s="443">
        <f t="shared" si="15"/>
        <v>4000000</v>
      </c>
      <c r="AB137" s="425">
        <v>4000000</v>
      </c>
    </row>
    <row r="138" spans="2:28" ht="45" x14ac:dyDescent="0.25">
      <c r="B138" s="84"/>
      <c r="C138" s="85"/>
      <c r="D138" s="85"/>
      <c r="E138" s="85"/>
      <c r="F138" s="85"/>
      <c r="G138" s="85"/>
      <c r="H138" s="85"/>
      <c r="I138" s="85"/>
      <c r="J138" s="86"/>
      <c r="K138" s="86" t="s">
        <v>106997</v>
      </c>
      <c r="L138" s="51">
        <v>81111500</v>
      </c>
      <c r="M138" s="97" t="s">
        <v>113236</v>
      </c>
      <c r="N138" s="89">
        <v>45458</v>
      </c>
      <c r="O138" s="89" t="s">
        <v>112996</v>
      </c>
      <c r="P138" s="90" t="s">
        <v>113001</v>
      </c>
      <c r="Q138" s="90" t="s">
        <v>113051</v>
      </c>
      <c r="R138" s="94">
        <v>45000000</v>
      </c>
      <c r="S138" s="92"/>
      <c r="T138" s="88" t="s">
        <v>113002</v>
      </c>
      <c r="U138" s="275">
        <v>58324</v>
      </c>
      <c r="V138" s="319">
        <f>45000000+220000-32000000+4800000+10610000</f>
        <v>28630000</v>
      </c>
      <c r="W138" s="319">
        <f t="shared" si="14"/>
        <v>16370000</v>
      </c>
      <c r="X138" s="276">
        <f t="shared" si="13"/>
        <v>28630000</v>
      </c>
      <c r="Y138" s="344"/>
      <c r="Z138" s="432"/>
      <c r="AA138" s="443">
        <f t="shared" si="15"/>
        <v>45000000</v>
      </c>
      <c r="AB138" s="425">
        <v>45000000</v>
      </c>
    </row>
    <row r="139" spans="2:28" ht="75" customHeight="1" x14ac:dyDescent="0.25">
      <c r="B139" s="84"/>
      <c r="C139" s="85"/>
      <c r="D139" s="85"/>
      <c r="E139" s="85"/>
      <c r="F139" s="85"/>
      <c r="G139" s="85"/>
      <c r="H139" s="85"/>
      <c r="I139" s="85"/>
      <c r="J139" s="86"/>
      <c r="K139" s="86" t="s">
        <v>106997</v>
      </c>
      <c r="L139" s="51">
        <v>81111500</v>
      </c>
      <c r="M139" s="97" t="s">
        <v>113512</v>
      </c>
      <c r="N139" s="89">
        <v>45580</v>
      </c>
      <c r="O139" s="89" t="s">
        <v>113067</v>
      </c>
      <c r="P139" s="90" t="s">
        <v>113043</v>
      </c>
      <c r="Q139" s="90" t="s">
        <v>113051</v>
      </c>
      <c r="R139" s="94">
        <v>30000000</v>
      </c>
      <c r="S139" s="92"/>
      <c r="T139" s="88" t="s">
        <v>113002</v>
      </c>
      <c r="U139" s="275">
        <v>97324</v>
      </c>
      <c r="V139" s="276">
        <v>30000000</v>
      </c>
      <c r="W139" s="276">
        <f t="shared" si="14"/>
        <v>0</v>
      </c>
      <c r="X139" s="276">
        <f t="shared" si="13"/>
        <v>15000000</v>
      </c>
      <c r="Y139" s="340" t="s">
        <v>113527</v>
      </c>
      <c r="Z139" s="432">
        <v>15000000</v>
      </c>
      <c r="AA139" s="443">
        <f t="shared" si="15"/>
        <v>15000000</v>
      </c>
      <c r="AB139" s="425" t="s">
        <v>113515</v>
      </c>
    </row>
    <row r="140" spans="2:28" ht="45" x14ac:dyDescent="0.25">
      <c r="B140" s="84"/>
      <c r="C140" s="85"/>
      <c r="D140" s="85"/>
      <c r="E140" s="85"/>
      <c r="F140" s="85"/>
      <c r="G140" s="85"/>
      <c r="H140" s="85"/>
      <c r="I140" s="85"/>
      <c r="J140" s="86"/>
      <c r="K140" s="86" t="s">
        <v>106997</v>
      </c>
      <c r="L140" s="51">
        <v>81111500</v>
      </c>
      <c r="M140" s="97" t="s">
        <v>113236</v>
      </c>
      <c r="N140" s="89">
        <v>45474</v>
      </c>
      <c r="O140" s="89" t="s">
        <v>112996</v>
      </c>
      <c r="P140" s="90" t="s">
        <v>113005</v>
      </c>
      <c r="Q140" s="90" t="s">
        <v>113051</v>
      </c>
      <c r="R140" s="94">
        <v>30000000</v>
      </c>
      <c r="S140" s="92"/>
      <c r="T140" s="88" t="s">
        <v>113002</v>
      </c>
      <c r="U140" s="277"/>
      <c r="V140" s="276"/>
      <c r="W140" s="276">
        <f t="shared" si="14"/>
        <v>30000000</v>
      </c>
      <c r="X140" s="276">
        <f t="shared" si="13"/>
        <v>0</v>
      </c>
      <c r="Y140" s="340"/>
      <c r="Z140" s="432"/>
      <c r="AA140" s="443">
        <f t="shared" si="15"/>
        <v>30000000</v>
      </c>
      <c r="AB140" s="425">
        <v>30000000</v>
      </c>
    </row>
    <row r="141" spans="2:28" ht="78" customHeight="1" x14ac:dyDescent="0.25">
      <c r="B141" s="84"/>
      <c r="C141" s="85"/>
      <c r="D141" s="85"/>
      <c r="E141" s="85"/>
      <c r="F141" s="85"/>
      <c r="G141" s="85"/>
      <c r="H141" s="85"/>
      <c r="I141" s="85"/>
      <c r="J141" s="86"/>
      <c r="K141" s="86"/>
      <c r="L141" s="51">
        <v>81111500</v>
      </c>
      <c r="M141" s="97" t="s">
        <v>113342</v>
      </c>
      <c r="N141" s="89">
        <v>45458</v>
      </c>
      <c r="O141" s="89" t="s">
        <v>112996</v>
      </c>
      <c r="P141" s="90" t="s">
        <v>113001</v>
      </c>
      <c r="Q141" s="90" t="s">
        <v>113051</v>
      </c>
      <c r="R141" s="94">
        <f>48000000-4800000</f>
        <v>43200000</v>
      </c>
      <c r="S141" s="92"/>
      <c r="T141" s="88" t="s">
        <v>113002</v>
      </c>
      <c r="U141" s="275">
        <v>58324</v>
      </c>
      <c r="V141" s="319">
        <v>40000000</v>
      </c>
      <c r="W141" s="319">
        <f t="shared" si="14"/>
        <v>3200000</v>
      </c>
      <c r="X141" s="276">
        <f t="shared" si="13"/>
        <v>0</v>
      </c>
      <c r="Y141" s="344" t="s">
        <v>113449</v>
      </c>
      <c r="Z141" s="432">
        <v>40000000</v>
      </c>
      <c r="AA141" s="443">
        <f t="shared" si="15"/>
        <v>3200000</v>
      </c>
      <c r="AB141" s="425">
        <v>3200000</v>
      </c>
    </row>
    <row r="142" spans="2:28" ht="30" x14ac:dyDescent="0.25">
      <c r="B142" s="84"/>
      <c r="C142" s="85"/>
      <c r="D142" s="85"/>
      <c r="E142" s="85"/>
      <c r="F142" s="85"/>
      <c r="G142" s="85"/>
      <c r="H142" s="85"/>
      <c r="I142" s="85"/>
      <c r="J142" s="86"/>
      <c r="K142" s="86"/>
      <c r="L142" s="51">
        <v>81111500</v>
      </c>
      <c r="M142" s="97" t="s">
        <v>113282</v>
      </c>
      <c r="N142" s="89">
        <v>45458</v>
      </c>
      <c r="O142" s="89" t="s">
        <v>112996</v>
      </c>
      <c r="P142" s="90" t="s">
        <v>113001</v>
      </c>
      <c r="Q142" s="90" t="s">
        <v>113051</v>
      </c>
      <c r="R142" s="94">
        <f>48000000-32763792.83</f>
        <v>15236207.170000002</v>
      </c>
      <c r="S142" s="92"/>
      <c r="T142" s="88" t="s">
        <v>113002</v>
      </c>
      <c r="U142" s="275">
        <v>58324</v>
      </c>
      <c r="V142" s="319">
        <f>48000000-32763792.83</f>
        <v>15236207.170000002</v>
      </c>
      <c r="W142" s="319">
        <f t="shared" si="14"/>
        <v>0</v>
      </c>
      <c r="X142" s="276">
        <f t="shared" si="13"/>
        <v>15236207.170000002</v>
      </c>
      <c r="Y142" s="344"/>
      <c r="Z142" s="432"/>
      <c r="AA142" s="443">
        <f t="shared" si="15"/>
        <v>15236207.170000002</v>
      </c>
      <c r="AB142" s="425">
        <v>5236207.17</v>
      </c>
    </row>
    <row r="143" spans="2:28" ht="60" x14ac:dyDescent="0.25">
      <c r="B143" s="84"/>
      <c r="C143" s="85"/>
      <c r="D143" s="85"/>
      <c r="E143" s="85"/>
      <c r="F143" s="85"/>
      <c r="G143" s="85"/>
      <c r="H143" s="85"/>
      <c r="I143" s="85"/>
      <c r="J143" s="86"/>
      <c r="K143" s="86"/>
      <c r="L143" s="51">
        <v>81111500</v>
      </c>
      <c r="M143" s="97" t="s">
        <v>113462</v>
      </c>
      <c r="N143" s="89">
        <v>45536</v>
      </c>
      <c r="O143" s="89" t="s">
        <v>113074</v>
      </c>
      <c r="P143" s="90" t="s">
        <v>113005</v>
      </c>
      <c r="Q143" s="90" t="s">
        <v>113051</v>
      </c>
      <c r="R143" s="94">
        <v>32000000</v>
      </c>
      <c r="S143" s="92"/>
      <c r="T143" s="88" t="s">
        <v>113002</v>
      </c>
      <c r="U143" s="275">
        <v>58324</v>
      </c>
      <c r="V143" s="319">
        <v>31200000</v>
      </c>
      <c r="W143" s="319">
        <f t="shared" si="14"/>
        <v>800000</v>
      </c>
      <c r="X143" s="276">
        <f t="shared" si="13"/>
        <v>0</v>
      </c>
      <c r="Y143" s="340" t="s">
        <v>113482</v>
      </c>
      <c r="Z143" s="432">
        <v>31200000</v>
      </c>
      <c r="AA143" s="443">
        <f t="shared" si="15"/>
        <v>800000</v>
      </c>
      <c r="AB143" s="425">
        <v>800000</v>
      </c>
    </row>
    <row r="144" spans="2:28" ht="30" x14ac:dyDescent="0.25">
      <c r="B144" s="84"/>
      <c r="C144" s="85"/>
      <c r="D144" s="85"/>
      <c r="E144" s="85"/>
      <c r="F144" s="85"/>
      <c r="G144" s="85"/>
      <c r="H144" s="85"/>
      <c r="I144" s="85"/>
      <c r="J144" s="86"/>
      <c r="K144" s="86"/>
      <c r="L144" s="51">
        <v>81111500</v>
      </c>
      <c r="M144" s="97" t="s">
        <v>113282</v>
      </c>
      <c r="N144" s="89">
        <v>45474</v>
      </c>
      <c r="O144" s="89" t="s">
        <v>112996</v>
      </c>
      <c r="P144" s="90" t="s">
        <v>113005</v>
      </c>
      <c r="Q144" s="90" t="s">
        <v>113051</v>
      </c>
      <c r="R144" s="94">
        <v>32000000</v>
      </c>
      <c r="S144" s="92"/>
      <c r="T144" s="88" t="s">
        <v>113002</v>
      </c>
      <c r="U144" s="277"/>
      <c r="V144" s="276"/>
      <c r="W144" s="276">
        <f t="shared" si="14"/>
        <v>32000000</v>
      </c>
      <c r="X144" s="276">
        <f t="shared" si="13"/>
        <v>0</v>
      </c>
      <c r="Y144" s="340"/>
      <c r="Z144" s="432"/>
      <c r="AA144" s="443">
        <f t="shared" si="15"/>
        <v>32000000</v>
      </c>
      <c r="AB144" s="425">
        <v>32000000</v>
      </c>
    </row>
    <row r="145" spans="2:28" ht="30" x14ac:dyDescent="0.25">
      <c r="B145" s="84"/>
      <c r="C145" s="85"/>
      <c r="D145" s="85"/>
      <c r="E145" s="85"/>
      <c r="F145" s="85"/>
      <c r="G145" s="85"/>
      <c r="H145" s="85"/>
      <c r="I145" s="85"/>
      <c r="J145" s="86"/>
      <c r="K145" s="86" t="s">
        <v>106997</v>
      </c>
      <c r="L145" s="51">
        <v>80101600</v>
      </c>
      <c r="M145" s="97" t="s">
        <v>113281</v>
      </c>
      <c r="N145" s="89">
        <v>45458</v>
      </c>
      <c r="O145" s="89" t="s">
        <v>112996</v>
      </c>
      <c r="P145" s="90" t="s">
        <v>113001</v>
      </c>
      <c r="Q145" s="90" t="s">
        <v>113051</v>
      </c>
      <c r="R145" s="94">
        <f>42000000-7800000</f>
        <v>34200000</v>
      </c>
      <c r="S145" s="92"/>
      <c r="T145" s="88" t="s">
        <v>113002</v>
      </c>
      <c r="U145" s="275">
        <v>58324</v>
      </c>
      <c r="V145" s="319">
        <f>42000000-7800000</f>
        <v>34200000</v>
      </c>
      <c r="W145" s="319">
        <f t="shared" si="14"/>
        <v>0</v>
      </c>
      <c r="X145" s="276">
        <f t="shared" si="13"/>
        <v>0</v>
      </c>
      <c r="Y145" s="344" t="s">
        <v>113396</v>
      </c>
      <c r="Z145" s="432">
        <v>34200000</v>
      </c>
      <c r="AA145" s="443">
        <f t="shared" si="15"/>
        <v>0</v>
      </c>
    </row>
    <row r="146" spans="2:28" ht="30" x14ac:dyDescent="0.25">
      <c r="B146" s="84"/>
      <c r="C146" s="85"/>
      <c r="D146" s="85"/>
      <c r="E146" s="85"/>
      <c r="F146" s="85"/>
      <c r="G146" s="85"/>
      <c r="H146" s="85"/>
      <c r="I146" s="85"/>
      <c r="J146" s="86"/>
      <c r="K146" s="86"/>
      <c r="L146" s="51">
        <v>81111500</v>
      </c>
      <c r="M146" s="97" t="s">
        <v>113281</v>
      </c>
      <c r="N146" s="89">
        <v>45474</v>
      </c>
      <c r="O146" s="89" t="s">
        <v>112996</v>
      </c>
      <c r="P146" s="90" t="s">
        <v>113005</v>
      </c>
      <c r="Q146" s="90" t="s">
        <v>113051</v>
      </c>
      <c r="R146" s="94">
        <v>30000000</v>
      </c>
      <c r="S146" s="92"/>
      <c r="T146" s="88" t="s">
        <v>113002</v>
      </c>
      <c r="U146" s="277"/>
      <c r="V146" s="276"/>
      <c r="W146" s="276">
        <f t="shared" si="14"/>
        <v>30000000</v>
      </c>
      <c r="X146" s="276">
        <f t="shared" si="13"/>
        <v>0</v>
      </c>
      <c r="Y146" s="340"/>
      <c r="Z146" s="432"/>
      <c r="AA146" s="443">
        <f t="shared" si="15"/>
        <v>30000000</v>
      </c>
      <c r="AB146" s="425">
        <v>30000000</v>
      </c>
    </row>
    <row r="147" spans="2:28" ht="30" x14ac:dyDescent="0.25">
      <c r="B147" s="84"/>
      <c r="C147" s="85"/>
      <c r="D147" s="85"/>
      <c r="E147" s="85"/>
      <c r="F147" s="85"/>
      <c r="G147" s="85"/>
      <c r="H147" s="85"/>
      <c r="I147" s="85"/>
      <c r="J147" s="86"/>
      <c r="K147" s="86" t="s">
        <v>106997</v>
      </c>
      <c r="L147" s="51">
        <v>81111500</v>
      </c>
      <c r="M147" s="97" t="s">
        <v>113084</v>
      </c>
      <c r="N147" s="89">
        <v>45300</v>
      </c>
      <c r="O147" s="89" t="s">
        <v>113035</v>
      </c>
      <c r="P147" s="90" t="s">
        <v>113009</v>
      </c>
      <c r="Q147" s="90" t="s">
        <v>113051</v>
      </c>
      <c r="R147" s="91">
        <f>62700000/2-2850000</f>
        <v>28500000</v>
      </c>
      <c r="S147" s="92"/>
      <c r="T147" s="88" t="s">
        <v>113002</v>
      </c>
      <c r="U147" s="275">
        <v>3724</v>
      </c>
      <c r="V147" s="276">
        <f>31350000-2850000</f>
        <v>28500000</v>
      </c>
      <c r="W147" s="276">
        <f t="shared" si="14"/>
        <v>0</v>
      </c>
      <c r="X147" s="276">
        <f t="shared" si="13"/>
        <v>0</v>
      </c>
      <c r="Y147" s="340" t="s">
        <v>113374</v>
      </c>
      <c r="Z147" s="432">
        <v>28500000</v>
      </c>
      <c r="AA147" s="443">
        <f t="shared" si="15"/>
        <v>0</v>
      </c>
    </row>
    <row r="148" spans="2:28" ht="96.75" customHeight="1" x14ac:dyDescent="0.25">
      <c r="B148" s="84"/>
      <c r="C148" s="85"/>
      <c r="D148" s="85"/>
      <c r="E148" s="85"/>
      <c r="F148" s="85"/>
      <c r="G148" s="85"/>
      <c r="H148" s="85"/>
      <c r="I148" s="85"/>
      <c r="J148" s="86"/>
      <c r="K148" s="86" t="s">
        <v>106997</v>
      </c>
      <c r="L148" s="51">
        <v>81111500</v>
      </c>
      <c r="M148" s="97" t="s">
        <v>113332</v>
      </c>
      <c r="N148" s="89">
        <v>45475</v>
      </c>
      <c r="O148" s="89" t="s">
        <v>112996</v>
      </c>
      <c r="P148" s="90" t="s">
        <v>113299</v>
      </c>
      <c r="Q148" s="90" t="s">
        <v>113051</v>
      </c>
      <c r="R148" s="91">
        <f>32300000+2850000</f>
        <v>35150000</v>
      </c>
      <c r="S148" s="92"/>
      <c r="T148" s="88" t="s">
        <v>113002</v>
      </c>
      <c r="U148" s="275">
        <v>58324</v>
      </c>
      <c r="V148" s="319">
        <v>33630000</v>
      </c>
      <c r="W148" s="319">
        <f t="shared" si="14"/>
        <v>1520000</v>
      </c>
      <c r="X148" s="276">
        <f t="shared" si="13"/>
        <v>0</v>
      </c>
      <c r="Y148" s="344" t="s">
        <v>113391</v>
      </c>
      <c r="Z148" s="432">
        <v>33630000</v>
      </c>
      <c r="AA148" s="443">
        <f t="shared" si="15"/>
        <v>1520000</v>
      </c>
      <c r="AB148" s="425">
        <v>1520000</v>
      </c>
    </row>
    <row r="149" spans="2:28" ht="30" x14ac:dyDescent="0.25">
      <c r="B149" s="84"/>
      <c r="C149" s="85"/>
      <c r="D149" s="85"/>
      <c r="E149" s="85"/>
      <c r="F149" s="85"/>
      <c r="G149" s="85"/>
      <c r="H149" s="85"/>
      <c r="I149" s="85"/>
      <c r="J149" s="86"/>
      <c r="K149" s="86" t="s">
        <v>106997</v>
      </c>
      <c r="L149" s="51">
        <v>81112200</v>
      </c>
      <c r="M149" s="97" t="s">
        <v>113085</v>
      </c>
      <c r="N149" s="89">
        <v>45300</v>
      </c>
      <c r="O149" s="89" t="s">
        <v>113035</v>
      </c>
      <c r="P149" s="90" t="s">
        <v>113009</v>
      </c>
      <c r="Q149" s="90" t="s">
        <v>113051</v>
      </c>
      <c r="R149" s="91">
        <f>14000000-1799695</f>
        <v>12200305</v>
      </c>
      <c r="S149" s="92"/>
      <c r="T149" s="88" t="s">
        <v>113002</v>
      </c>
      <c r="U149" s="275">
        <v>6524</v>
      </c>
      <c r="V149" s="276">
        <f>14000000-1799695</f>
        <v>12200305</v>
      </c>
      <c r="W149" s="276">
        <f t="shared" si="14"/>
        <v>0</v>
      </c>
      <c r="X149" s="276">
        <f t="shared" si="13"/>
        <v>0</v>
      </c>
      <c r="Y149" s="340" t="s">
        <v>113381</v>
      </c>
      <c r="Z149" s="432">
        <v>12200305</v>
      </c>
      <c r="AA149" s="443">
        <f t="shared" si="15"/>
        <v>0</v>
      </c>
    </row>
    <row r="150" spans="2:28" ht="57.75" customHeight="1" x14ac:dyDescent="0.25">
      <c r="B150" s="84"/>
      <c r="C150" s="85"/>
      <c r="D150" s="85"/>
      <c r="E150" s="85"/>
      <c r="F150" s="85"/>
      <c r="G150" s="85"/>
      <c r="H150" s="85"/>
      <c r="I150" s="85"/>
      <c r="J150" s="86"/>
      <c r="K150" s="86" t="s">
        <v>106997</v>
      </c>
      <c r="L150" s="51">
        <v>81112200</v>
      </c>
      <c r="M150" s="97" t="s">
        <v>113335</v>
      </c>
      <c r="N150" s="89">
        <v>45460</v>
      </c>
      <c r="O150" s="89" t="s">
        <v>112996</v>
      </c>
      <c r="P150" s="90" t="s">
        <v>112997</v>
      </c>
      <c r="Q150" s="90" t="s">
        <v>113051</v>
      </c>
      <c r="R150" s="91">
        <f>92000000-24000000-9600000-30000000+113800000</f>
        <v>142200000</v>
      </c>
      <c r="S150" s="92"/>
      <c r="T150" s="88" t="s">
        <v>113002</v>
      </c>
      <c r="U150" s="275">
        <v>61824</v>
      </c>
      <c r="V150" s="276">
        <v>142200000</v>
      </c>
      <c r="W150" s="276">
        <f t="shared" si="14"/>
        <v>0</v>
      </c>
      <c r="X150" s="276">
        <f t="shared" si="13"/>
        <v>2271470</v>
      </c>
      <c r="Y150" s="340" t="s">
        <v>113450</v>
      </c>
      <c r="Z150" s="432">
        <v>139928530</v>
      </c>
      <c r="AA150" s="443">
        <f t="shared" si="15"/>
        <v>2271470</v>
      </c>
      <c r="AB150" s="425">
        <v>2271470</v>
      </c>
    </row>
    <row r="151" spans="2:28" ht="45" x14ac:dyDescent="0.25">
      <c r="B151" s="84"/>
      <c r="C151" s="85"/>
      <c r="D151" s="85"/>
      <c r="E151" s="85"/>
      <c r="F151" s="85"/>
      <c r="G151" s="85"/>
      <c r="H151" s="85"/>
      <c r="I151" s="85"/>
      <c r="J151" s="86"/>
      <c r="K151" s="86"/>
      <c r="L151" s="51">
        <v>84111503</v>
      </c>
      <c r="M151" s="97" t="s">
        <v>113285</v>
      </c>
      <c r="N151" s="89">
        <v>45474</v>
      </c>
      <c r="O151" s="89" t="s">
        <v>112996</v>
      </c>
      <c r="P151" s="90" t="s">
        <v>113133</v>
      </c>
      <c r="Q151" s="90" t="s">
        <v>113087</v>
      </c>
      <c r="R151" s="91">
        <f>200000000-65749628-130000000</f>
        <v>4250372</v>
      </c>
      <c r="S151" s="292"/>
      <c r="T151" s="88" t="s">
        <v>113138</v>
      </c>
      <c r="U151" s="277"/>
      <c r="V151" s="276"/>
      <c r="W151" s="276">
        <f t="shared" si="14"/>
        <v>4250372</v>
      </c>
      <c r="X151" s="276">
        <f t="shared" si="13"/>
        <v>0</v>
      </c>
      <c r="Y151" s="340"/>
      <c r="Z151" s="432"/>
      <c r="AA151" s="443">
        <f t="shared" si="15"/>
        <v>4250372</v>
      </c>
    </row>
    <row r="152" spans="2:28" ht="75" x14ac:dyDescent="0.25">
      <c r="B152" s="84"/>
      <c r="C152" s="85"/>
      <c r="D152" s="85"/>
      <c r="E152" s="85"/>
      <c r="F152" s="85"/>
      <c r="G152" s="85"/>
      <c r="H152" s="85"/>
      <c r="I152" s="85"/>
      <c r="J152" s="86"/>
      <c r="K152" s="86" t="s">
        <v>106997</v>
      </c>
      <c r="L152" s="87" t="s">
        <v>113286</v>
      </c>
      <c r="M152" s="97" t="s">
        <v>113086</v>
      </c>
      <c r="N152" s="89">
        <v>45308</v>
      </c>
      <c r="O152" s="89" t="s">
        <v>113004</v>
      </c>
      <c r="P152" s="90" t="s">
        <v>113001</v>
      </c>
      <c r="Q152" s="90" t="s">
        <v>113087</v>
      </c>
      <c r="R152" s="91">
        <f>290000000-30000000</f>
        <v>260000000</v>
      </c>
      <c r="S152" s="92"/>
      <c r="T152" s="88" t="s">
        <v>113002</v>
      </c>
      <c r="U152" s="275">
        <v>3824</v>
      </c>
      <c r="V152" s="276">
        <v>260000000</v>
      </c>
      <c r="W152" s="276">
        <f t="shared" si="14"/>
        <v>0</v>
      </c>
      <c r="X152" s="276">
        <f t="shared" si="13"/>
        <v>112330</v>
      </c>
      <c r="Y152" s="340" t="s">
        <v>113384</v>
      </c>
      <c r="Z152" s="432">
        <v>259887670</v>
      </c>
      <c r="AA152" s="443">
        <f t="shared" si="15"/>
        <v>112330</v>
      </c>
      <c r="AB152" s="425">
        <v>112330</v>
      </c>
    </row>
    <row r="153" spans="2:28" ht="30" x14ac:dyDescent="0.25">
      <c r="B153" s="124"/>
      <c r="C153" s="125"/>
      <c r="D153" s="125"/>
      <c r="E153" s="125"/>
      <c r="F153" s="125"/>
      <c r="G153" s="125"/>
      <c r="H153" s="125"/>
      <c r="I153" s="125"/>
      <c r="J153" s="126"/>
      <c r="K153" s="126" t="s">
        <v>106997</v>
      </c>
      <c r="L153" s="51">
        <v>81111800</v>
      </c>
      <c r="M153" s="88" t="s">
        <v>113237</v>
      </c>
      <c r="N153" s="89">
        <v>45308</v>
      </c>
      <c r="O153" s="89" t="s">
        <v>113035</v>
      </c>
      <c r="P153" s="90" t="s">
        <v>112997</v>
      </c>
      <c r="Q153" s="90" t="s">
        <v>113051</v>
      </c>
      <c r="R153" s="91">
        <f>65000000+30000000</f>
        <v>95000000</v>
      </c>
      <c r="S153" s="92"/>
      <c r="T153" s="88" t="s">
        <v>113002</v>
      </c>
      <c r="U153" s="275">
        <v>33324</v>
      </c>
      <c r="V153" s="276">
        <v>95000000</v>
      </c>
      <c r="W153" s="276">
        <f t="shared" si="14"/>
        <v>0</v>
      </c>
      <c r="X153" s="276">
        <f t="shared" si="13"/>
        <v>383940</v>
      </c>
      <c r="Y153" s="340" t="s">
        <v>113385</v>
      </c>
      <c r="Z153" s="432">
        <v>94616060</v>
      </c>
      <c r="AA153" s="443">
        <f t="shared" si="15"/>
        <v>383940</v>
      </c>
      <c r="AB153" s="425">
        <v>383940</v>
      </c>
    </row>
    <row r="154" spans="2:28" ht="120" x14ac:dyDescent="0.25">
      <c r="B154" s="124"/>
      <c r="C154" s="125"/>
      <c r="D154" s="125"/>
      <c r="E154" s="125"/>
      <c r="F154" s="125"/>
      <c r="G154" s="125"/>
      <c r="H154" s="125"/>
      <c r="I154" s="125"/>
      <c r="J154" s="126"/>
      <c r="K154" s="126" t="s">
        <v>106997</v>
      </c>
      <c r="L154" s="87" t="s">
        <v>113269</v>
      </c>
      <c r="M154" s="88" t="s">
        <v>113260</v>
      </c>
      <c r="N154" s="89">
        <v>45300</v>
      </c>
      <c r="O154" s="89" t="s">
        <v>113240</v>
      </c>
      <c r="P154" s="90" t="s">
        <v>113170</v>
      </c>
      <c r="Q154" s="90" t="s">
        <v>113051</v>
      </c>
      <c r="R154" s="91">
        <f>62700000/2</f>
        <v>31350000</v>
      </c>
      <c r="S154" s="92"/>
      <c r="T154" s="88" t="s">
        <v>113072</v>
      </c>
      <c r="U154" s="275">
        <v>4224</v>
      </c>
      <c r="V154" s="276">
        <v>31350000</v>
      </c>
      <c r="W154" s="276">
        <f t="shared" si="14"/>
        <v>0</v>
      </c>
      <c r="X154" s="276">
        <f t="shared" si="13"/>
        <v>0</v>
      </c>
      <c r="Y154" s="340" t="s">
        <v>113373</v>
      </c>
      <c r="Z154" s="432">
        <v>31350000</v>
      </c>
      <c r="AA154" s="443">
        <f t="shared" si="15"/>
        <v>0</v>
      </c>
    </row>
    <row r="155" spans="2:28" ht="133.5" customHeight="1" x14ac:dyDescent="0.25">
      <c r="B155" s="124"/>
      <c r="C155" s="125"/>
      <c r="D155" s="125"/>
      <c r="E155" s="125"/>
      <c r="F155" s="125"/>
      <c r="G155" s="125"/>
      <c r="H155" s="125"/>
      <c r="I155" s="125"/>
      <c r="J155" s="126"/>
      <c r="K155" s="126" t="s">
        <v>106997</v>
      </c>
      <c r="L155" s="87" t="s">
        <v>113269</v>
      </c>
      <c r="M155" s="88" t="s">
        <v>113260</v>
      </c>
      <c r="N155" s="89">
        <v>45475</v>
      </c>
      <c r="O155" s="89" t="s">
        <v>112996</v>
      </c>
      <c r="P155" s="90" t="s">
        <v>113133</v>
      </c>
      <c r="Q155" s="90" t="s">
        <v>113051</v>
      </c>
      <c r="R155" s="91">
        <v>32300000</v>
      </c>
      <c r="S155" s="92"/>
      <c r="T155" s="88" t="s">
        <v>113072</v>
      </c>
      <c r="U155" s="275">
        <v>56124</v>
      </c>
      <c r="V155" s="320">
        <v>32300000</v>
      </c>
      <c r="W155" s="320">
        <f t="shared" si="14"/>
        <v>0</v>
      </c>
      <c r="X155" s="276">
        <f t="shared" si="13"/>
        <v>0</v>
      </c>
      <c r="Y155" s="345" t="s">
        <v>113395</v>
      </c>
      <c r="Z155" s="432">
        <v>32300000</v>
      </c>
      <c r="AA155" s="443">
        <f t="shared" si="15"/>
        <v>0</v>
      </c>
    </row>
    <row r="156" spans="2:28" ht="135" x14ac:dyDescent="0.25">
      <c r="B156" s="124"/>
      <c r="C156" s="125"/>
      <c r="D156" s="125"/>
      <c r="E156" s="125"/>
      <c r="F156" s="125"/>
      <c r="G156" s="125"/>
      <c r="H156" s="125"/>
      <c r="I156" s="125"/>
      <c r="J156" s="126"/>
      <c r="K156" s="126" t="s">
        <v>106997</v>
      </c>
      <c r="L156" s="87" t="s">
        <v>113270</v>
      </c>
      <c r="M156" s="88" t="s">
        <v>113261</v>
      </c>
      <c r="N156" s="89">
        <v>45300</v>
      </c>
      <c r="O156" s="89" t="s">
        <v>113240</v>
      </c>
      <c r="P156" s="90" t="s">
        <v>113170</v>
      </c>
      <c r="Q156" s="90" t="s">
        <v>113051</v>
      </c>
      <c r="R156" s="91">
        <f>62700000/2</f>
        <v>31350000</v>
      </c>
      <c r="S156" s="92"/>
      <c r="T156" s="88" t="s">
        <v>113072</v>
      </c>
      <c r="U156" s="275">
        <v>4324</v>
      </c>
      <c r="V156" s="276">
        <v>31350000</v>
      </c>
      <c r="W156" s="276">
        <f t="shared" si="14"/>
        <v>0</v>
      </c>
      <c r="X156" s="276">
        <f t="shared" si="13"/>
        <v>0</v>
      </c>
      <c r="Y156" s="340" t="s">
        <v>113371</v>
      </c>
      <c r="Z156" s="432">
        <v>31350000</v>
      </c>
      <c r="AA156" s="443">
        <f t="shared" si="15"/>
        <v>0</v>
      </c>
    </row>
    <row r="157" spans="2:28" ht="135" x14ac:dyDescent="0.25">
      <c r="B157" s="124"/>
      <c r="C157" s="125"/>
      <c r="D157" s="125"/>
      <c r="E157" s="125"/>
      <c r="F157" s="125"/>
      <c r="G157" s="125"/>
      <c r="H157" s="125"/>
      <c r="I157" s="125"/>
      <c r="J157" s="126"/>
      <c r="K157" s="126" t="s">
        <v>106997</v>
      </c>
      <c r="L157" s="87" t="s">
        <v>113270</v>
      </c>
      <c r="M157" s="88" t="s">
        <v>113261</v>
      </c>
      <c r="N157" s="89">
        <v>45475</v>
      </c>
      <c r="O157" s="89" t="s">
        <v>112996</v>
      </c>
      <c r="P157" s="90" t="s">
        <v>113133</v>
      </c>
      <c r="Q157" s="90" t="s">
        <v>113051</v>
      </c>
      <c r="R157" s="91">
        <v>32300000</v>
      </c>
      <c r="S157" s="92"/>
      <c r="T157" s="88" t="s">
        <v>113072</v>
      </c>
      <c r="U157" s="275">
        <v>56124</v>
      </c>
      <c r="V157" s="320">
        <v>32300000</v>
      </c>
      <c r="W157" s="320">
        <f t="shared" si="14"/>
        <v>0</v>
      </c>
      <c r="X157" s="276">
        <f t="shared" si="13"/>
        <v>0</v>
      </c>
      <c r="Y157" s="345" t="s">
        <v>113393</v>
      </c>
      <c r="Z157" s="432">
        <v>32300000</v>
      </c>
      <c r="AA157" s="443">
        <f t="shared" si="15"/>
        <v>0</v>
      </c>
    </row>
    <row r="158" spans="2:28" ht="135" x14ac:dyDescent="0.25">
      <c r="B158" s="124"/>
      <c r="C158" s="125"/>
      <c r="D158" s="125"/>
      <c r="E158" s="125"/>
      <c r="F158" s="125"/>
      <c r="G158" s="125"/>
      <c r="H158" s="125"/>
      <c r="I158" s="125"/>
      <c r="J158" s="126"/>
      <c r="K158" s="126" t="s">
        <v>106997</v>
      </c>
      <c r="L158" s="87" t="s">
        <v>113270</v>
      </c>
      <c r="M158" s="88" t="s">
        <v>113261</v>
      </c>
      <c r="N158" s="89">
        <v>45300</v>
      </c>
      <c r="O158" s="89" t="s">
        <v>113240</v>
      </c>
      <c r="P158" s="90" t="s">
        <v>113170</v>
      </c>
      <c r="Q158" s="90" t="s">
        <v>113051</v>
      </c>
      <c r="R158" s="91">
        <f>62700000/2</f>
        <v>31350000</v>
      </c>
      <c r="S158" s="92"/>
      <c r="T158" s="88" t="s">
        <v>113072</v>
      </c>
      <c r="U158" s="275">
        <v>4424</v>
      </c>
      <c r="V158" s="276">
        <v>31350000</v>
      </c>
      <c r="W158" s="276">
        <f t="shared" si="14"/>
        <v>0</v>
      </c>
      <c r="X158" s="276">
        <f t="shared" si="13"/>
        <v>0</v>
      </c>
      <c r="Y158" s="340" t="s">
        <v>113372</v>
      </c>
      <c r="Z158" s="432">
        <v>31350000</v>
      </c>
      <c r="AA158" s="443">
        <f t="shared" si="15"/>
        <v>0</v>
      </c>
    </row>
    <row r="159" spans="2:28" ht="135" x14ac:dyDescent="0.25">
      <c r="B159" s="124"/>
      <c r="C159" s="125"/>
      <c r="D159" s="125"/>
      <c r="E159" s="125"/>
      <c r="F159" s="125"/>
      <c r="G159" s="125"/>
      <c r="H159" s="125"/>
      <c r="I159" s="125"/>
      <c r="J159" s="126"/>
      <c r="K159" s="126" t="s">
        <v>106997</v>
      </c>
      <c r="L159" s="87" t="s">
        <v>113270</v>
      </c>
      <c r="M159" s="88" t="s">
        <v>113261</v>
      </c>
      <c r="N159" s="89">
        <v>45475</v>
      </c>
      <c r="O159" s="89" t="s">
        <v>112996</v>
      </c>
      <c r="P159" s="90" t="s">
        <v>113133</v>
      </c>
      <c r="Q159" s="90" t="s">
        <v>113051</v>
      </c>
      <c r="R159" s="91">
        <v>32300000</v>
      </c>
      <c r="S159" s="92"/>
      <c r="T159" s="88" t="s">
        <v>113072</v>
      </c>
      <c r="U159" s="275">
        <v>56124</v>
      </c>
      <c r="V159" s="320">
        <v>32300000</v>
      </c>
      <c r="W159" s="320">
        <f t="shared" si="14"/>
        <v>0</v>
      </c>
      <c r="X159" s="276">
        <f t="shared" si="13"/>
        <v>0</v>
      </c>
      <c r="Y159" s="345" t="s">
        <v>113394</v>
      </c>
      <c r="Z159" s="432">
        <v>32300000</v>
      </c>
      <c r="AA159" s="443">
        <f t="shared" si="15"/>
        <v>0</v>
      </c>
    </row>
    <row r="160" spans="2:28" ht="120" x14ac:dyDescent="0.25">
      <c r="B160" s="124"/>
      <c r="C160" s="125"/>
      <c r="D160" s="125"/>
      <c r="E160" s="125"/>
      <c r="F160" s="125"/>
      <c r="G160" s="125"/>
      <c r="H160" s="125"/>
      <c r="I160" s="125"/>
      <c r="J160" s="126"/>
      <c r="K160" s="126" t="s">
        <v>106997</v>
      </c>
      <c r="L160" s="87" t="s">
        <v>113269</v>
      </c>
      <c r="M160" s="88" t="s">
        <v>113262</v>
      </c>
      <c r="N160" s="89">
        <v>45300</v>
      </c>
      <c r="O160" s="89" t="s">
        <v>113240</v>
      </c>
      <c r="P160" s="90" t="s">
        <v>113170</v>
      </c>
      <c r="Q160" s="90" t="s">
        <v>113051</v>
      </c>
      <c r="R160" s="91">
        <f>45100000/2</f>
        <v>22550000</v>
      </c>
      <c r="S160" s="92"/>
      <c r="T160" s="88" t="s">
        <v>113072</v>
      </c>
      <c r="U160" s="275">
        <v>4524</v>
      </c>
      <c r="V160" s="276">
        <v>22550000</v>
      </c>
      <c r="W160" s="276">
        <f t="shared" si="14"/>
        <v>0</v>
      </c>
      <c r="X160" s="276">
        <f t="shared" si="13"/>
        <v>0</v>
      </c>
      <c r="Y160" s="340" t="s">
        <v>113370</v>
      </c>
      <c r="Z160" s="432">
        <v>22550000</v>
      </c>
      <c r="AA160" s="443">
        <f t="shared" si="15"/>
        <v>0</v>
      </c>
    </row>
    <row r="161" spans="2:27" ht="120" x14ac:dyDescent="0.25">
      <c r="B161" s="124"/>
      <c r="C161" s="125"/>
      <c r="D161" s="125"/>
      <c r="E161" s="125"/>
      <c r="F161" s="125"/>
      <c r="G161" s="125"/>
      <c r="H161" s="125"/>
      <c r="I161" s="125"/>
      <c r="J161" s="126"/>
      <c r="K161" s="126" t="s">
        <v>106997</v>
      </c>
      <c r="L161" s="87" t="s">
        <v>113269</v>
      </c>
      <c r="M161" s="88" t="s">
        <v>113262</v>
      </c>
      <c r="N161" s="89">
        <v>45475</v>
      </c>
      <c r="O161" s="89" t="s">
        <v>112996</v>
      </c>
      <c r="P161" s="90" t="s">
        <v>113298</v>
      </c>
      <c r="Q161" s="90" t="s">
        <v>113051</v>
      </c>
      <c r="R161" s="91">
        <v>23233334</v>
      </c>
      <c r="S161" s="92"/>
      <c r="T161" s="88" t="s">
        <v>113072</v>
      </c>
      <c r="U161" s="275">
        <v>56124</v>
      </c>
      <c r="V161" s="320">
        <v>23233333.329999998</v>
      </c>
      <c r="W161" s="320">
        <f t="shared" si="14"/>
        <v>0.67000000178813934</v>
      </c>
      <c r="X161" s="276">
        <f t="shared" si="13"/>
        <v>0</v>
      </c>
      <c r="Y161" s="345" t="s">
        <v>113392</v>
      </c>
      <c r="Z161" s="432">
        <v>23233333.329999998</v>
      </c>
      <c r="AA161" s="443">
        <f t="shared" si="15"/>
        <v>0.67000000178813934</v>
      </c>
    </row>
    <row r="162" spans="2:27" ht="135" x14ac:dyDescent="0.25">
      <c r="B162" s="124"/>
      <c r="C162" s="125"/>
      <c r="D162" s="125"/>
      <c r="E162" s="125"/>
      <c r="F162" s="125"/>
      <c r="G162" s="125"/>
      <c r="H162" s="125"/>
      <c r="I162" s="125"/>
      <c r="J162" s="126"/>
      <c r="K162" s="126" t="s">
        <v>106997</v>
      </c>
      <c r="L162" s="87">
        <v>80101500</v>
      </c>
      <c r="M162" s="88" t="s">
        <v>113301</v>
      </c>
      <c r="N162" s="89">
        <v>45460</v>
      </c>
      <c r="O162" s="89" t="s">
        <v>113167</v>
      </c>
      <c r="P162" s="90" t="s">
        <v>113001</v>
      </c>
      <c r="Q162" s="90" t="s">
        <v>113051</v>
      </c>
      <c r="R162" s="94">
        <v>35340000</v>
      </c>
      <c r="S162" s="92"/>
      <c r="T162" s="88" t="s">
        <v>113072</v>
      </c>
      <c r="U162" s="275">
        <v>56124</v>
      </c>
      <c r="V162" s="320">
        <v>35340000</v>
      </c>
      <c r="W162" s="320">
        <f t="shared" si="14"/>
        <v>0</v>
      </c>
      <c r="X162" s="276">
        <f t="shared" si="13"/>
        <v>0</v>
      </c>
      <c r="Y162" s="345" t="s">
        <v>113389</v>
      </c>
      <c r="Z162" s="432">
        <v>35340000</v>
      </c>
      <c r="AA162" s="443">
        <f t="shared" si="15"/>
        <v>0</v>
      </c>
    </row>
    <row r="163" spans="2:27" ht="120" x14ac:dyDescent="0.25">
      <c r="B163" s="124"/>
      <c r="C163" s="125"/>
      <c r="D163" s="125"/>
      <c r="E163" s="125"/>
      <c r="F163" s="125"/>
      <c r="G163" s="125"/>
      <c r="H163" s="125"/>
      <c r="I163" s="125"/>
      <c r="J163" s="126"/>
      <c r="K163" s="126" t="s">
        <v>106997</v>
      </c>
      <c r="L163" s="51">
        <v>80101500</v>
      </c>
      <c r="M163" s="88" t="s">
        <v>113300</v>
      </c>
      <c r="N163" s="89">
        <v>45460</v>
      </c>
      <c r="O163" s="89" t="s">
        <v>113167</v>
      </c>
      <c r="P163" s="90" t="s">
        <v>113001</v>
      </c>
      <c r="Q163" s="90" t="s">
        <v>113051</v>
      </c>
      <c r="R163" s="94">
        <v>34390000</v>
      </c>
      <c r="S163" s="92"/>
      <c r="T163" s="88" t="s">
        <v>113072</v>
      </c>
      <c r="U163" s="275">
        <v>56124</v>
      </c>
      <c r="V163" s="320">
        <v>34390000</v>
      </c>
      <c r="W163" s="320">
        <f t="shared" si="14"/>
        <v>0</v>
      </c>
      <c r="X163" s="276">
        <f t="shared" si="13"/>
        <v>0</v>
      </c>
      <c r="Y163" s="345" t="s">
        <v>113388</v>
      </c>
      <c r="Z163" s="432">
        <v>34390000</v>
      </c>
      <c r="AA163" s="443">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113164</v>
      </c>
      <c r="P164" s="90" t="s">
        <v>113009</v>
      </c>
      <c r="Q164" s="90" t="s">
        <v>113068</v>
      </c>
      <c r="R164" s="91">
        <f>45100000/2</f>
        <v>22550000</v>
      </c>
      <c r="S164" s="92"/>
      <c r="T164" s="88" t="s">
        <v>113078</v>
      </c>
      <c r="U164" s="275">
        <v>3224</v>
      </c>
      <c r="V164" s="276">
        <v>22550000</v>
      </c>
      <c r="W164" s="276">
        <f t="shared" si="14"/>
        <v>0</v>
      </c>
      <c r="X164" s="276">
        <f t="shared" si="13"/>
        <v>0</v>
      </c>
      <c r="Y164" s="340" t="s">
        <v>113375</v>
      </c>
      <c r="Z164" s="432">
        <v>22550000</v>
      </c>
      <c r="AA164" s="443">
        <f t="shared" si="15"/>
        <v>0</v>
      </c>
    </row>
    <row r="165" spans="2:27" ht="108" customHeight="1" x14ac:dyDescent="0.25">
      <c r="B165" s="124"/>
      <c r="C165" s="125"/>
      <c r="D165" s="125"/>
      <c r="E165" s="125"/>
      <c r="F165" s="125"/>
      <c r="G165" s="125"/>
      <c r="H165" s="125"/>
      <c r="I165" s="125"/>
      <c r="J165" s="126"/>
      <c r="K165" s="126" t="s">
        <v>106997</v>
      </c>
      <c r="L165" s="51">
        <v>80101500</v>
      </c>
      <c r="M165" s="88" t="s">
        <v>113329</v>
      </c>
      <c r="N165" s="89">
        <v>45475</v>
      </c>
      <c r="O165" s="89" t="s">
        <v>113302</v>
      </c>
      <c r="P165" s="90" t="s">
        <v>113298</v>
      </c>
      <c r="Q165" s="90" t="s">
        <v>113068</v>
      </c>
      <c r="R165" s="91">
        <v>34200000</v>
      </c>
      <c r="S165" s="92"/>
      <c r="T165" s="88" t="s">
        <v>113078</v>
      </c>
      <c r="U165" s="275">
        <v>63824</v>
      </c>
      <c r="V165" s="276">
        <v>32300000</v>
      </c>
      <c r="W165" s="276">
        <f t="shared" si="14"/>
        <v>1900000</v>
      </c>
      <c r="X165" s="276">
        <f t="shared" si="13"/>
        <v>0</v>
      </c>
      <c r="Y165" s="340" t="s">
        <v>113454</v>
      </c>
      <c r="Z165" s="432">
        <v>32300000</v>
      </c>
      <c r="AA165" s="443">
        <f t="shared" si="15"/>
        <v>1900000</v>
      </c>
    </row>
    <row r="166" spans="2:27" ht="75" x14ac:dyDescent="0.25">
      <c r="B166" s="124"/>
      <c r="C166" s="125"/>
      <c r="D166" s="125"/>
      <c r="E166" s="125"/>
      <c r="F166" s="125"/>
      <c r="G166" s="125"/>
      <c r="H166" s="125"/>
      <c r="I166" s="125"/>
      <c r="J166" s="126"/>
      <c r="K166" s="126"/>
      <c r="L166" s="273">
        <v>80101500</v>
      </c>
      <c r="M166" s="120" t="s">
        <v>113465</v>
      </c>
      <c r="N166" s="89">
        <v>45536</v>
      </c>
      <c r="O166" s="89" t="s">
        <v>113074</v>
      </c>
      <c r="P166" s="90" t="s">
        <v>112997</v>
      </c>
      <c r="Q166" s="90" t="s">
        <v>113088</v>
      </c>
      <c r="R166" s="94">
        <v>15000000</v>
      </c>
      <c r="S166" s="92"/>
      <c r="T166" s="88" t="s">
        <v>113017</v>
      </c>
      <c r="U166" s="275">
        <v>89724</v>
      </c>
      <c r="V166" s="276">
        <v>15000000</v>
      </c>
      <c r="W166" s="276">
        <f t="shared" si="14"/>
        <v>0</v>
      </c>
      <c r="X166" s="276">
        <f t="shared" si="13"/>
        <v>3600000</v>
      </c>
      <c r="Y166" s="340" t="s">
        <v>113519</v>
      </c>
      <c r="Z166" s="432">
        <v>11400000</v>
      </c>
      <c r="AA166" s="443">
        <f t="shared" si="15"/>
        <v>3600000</v>
      </c>
    </row>
    <row r="167" spans="2:27" ht="90" x14ac:dyDescent="0.25">
      <c r="B167" s="124"/>
      <c r="C167" s="125"/>
      <c r="D167" s="125"/>
      <c r="E167" s="125"/>
      <c r="F167" s="125"/>
      <c r="G167" s="125"/>
      <c r="H167" s="125"/>
      <c r="I167" s="125"/>
      <c r="J167" s="126"/>
      <c r="K167" s="126"/>
      <c r="L167" s="176">
        <v>80101500</v>
      </c>
      <c r="M167" s="120" t="s">
        <v>113280</v>
      </c>
      <c r="N167" s="89">
        <v>45422</v>
      </c>
      <c r="O167" s="89" t="s">
        <v>113082</v>
      </c>
      <c r="P167" s="90" t="s">
        <v>113038</v>
      </c>
      <c r="Q167" s="90" t="s">
        <v>113051</v>
      </c>
      <c r="R167" s="91">
        <v>24000000</v>
      </c>
      <c r="S167" s="92"/>
      <c r="T167" s="88" t="s">
        <v>113078</v>
      </c>
      <c r="U167" s="275">
        <v>49224</v>
      </c>
      <c r="V167" s="276">
        <v>19500000</v>
      </c>
      <c r="W167" s="276">
        <f t="shared" si="14"/>
        <v>4500000</v>
      </c>
      <c r="X167" s="276">
        <f t="shared" si="13"/>
        <v>0</v>
      </c>
      <c r="Y167" s="340" t="s">
        <v>113387</v>
      </c>
      <c r="Z167" s="432">
        <v>19500000</v>
      </c>
      <c r="AA167" s="443">
        <f t="shared" si="15"/>
        <v>4500000</v>
      </c>
    </row>
    <row r="168" spans="2:27" ht="60" x14ac:dyDescent="0.25">
      <c r="B168" s="124"/>
      <c r="C168" s="125"/>
      <c r="D168" s="125"/>
      <c r="E168" s="125"/>
      <c r="F168" s="125"/>
      <c r="G168" s="125"/>
      <c r="H168" s="125"/>
      <c r="I168" s="125"/>
      <c r="J168" s="126"/>
      <c r="K168" s="126"/>
      <c r="L168" s="176">
        <v>80101500</v>
      </c>
      <c r="M168" s="120" t="s">
        <v>113279</v>
      </c>
      <c r="N168" s="89">
        <v>45422</v>
      </c>
      <c r="O168" s="89" t="s">
        <v>113082</v>
      </c>
      <c r="P168" s="90" t="s">
        <v>112997</v>
      </c>
      <c r="Q168" s="90" t="s">
        <v>113051</v>
      </c>
      <c r="R168" s="91">
        <f>9600000+4800000</f>
        <v>14400000</v>
      </c>
      <c r="S168" s="92"/>
      <c r="T168" s="88" t="s">
        <v>113090</v>
      </c>
      <c r="U168" s="275">
        <v>50924</v>
      </c>
      <c r="V168" s="276">
        <f>9600000+4800000</f>
        <v>14400000</v>
      </c>
      <c r="W168" s="276">
        <f t="shared" si="14"/>
        <v>0</v>
      </c>
      <c r="X168" s="276">
        <f t="shared" si="13"/>
        <v>0</v>
      </c>
      <c r="Y168" s="354" t="s">
        <v>113495</v>
      </c>
      <c r="Z168" s="432">
        <f>9600000+4800000</f>
        <v>14400000</v>
      </c>
      <c r="AA168" s="443">
        <f t="shared" si="15"/>
        <v>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113317</v>
      </c>
      <c r="N169" s="79"/>
      <c r="O169" s="79"/>
      <c r="P169" s="80"/>
      <c r="Q169" s="105"/>
      <c r="R169" s="81">
        <f>SUM(R170)</f>
        <v>10000000</v>
      </c>
      <c r="S169" s="82"/>
      <c r="T169" s="96"/>
      <c r="U169" s="79"/>
      <c r="V169" s="378">
        <f>SUM(V170)</f>
        <v>10000000</v>
      </c>
      <c r="W169" s="378">
        <f t="shared" si="14"/>
        <v>0</v>
      </c>
      <c r="X169" s="81">
        <f>SUM(X170)</f>
        <v>1000000</v>
      </c>
      <c r="Y169" s="335"/>
      <c r="Z169" s="404">
        <f>SUM(Z170)</f>
        <v>9000000</v>
      </c>
      <c r="AA169" s="81">
        <f t="shared" si="15"/>
        <v>1000000</v>
      </c>
    </row>
    <row r="170" spans="2:27" ht="90" x14ac:dyDescent="0.25">
      <c r="B170" s="84"/>
      <c r="C170" s="85"/>
      <c r="D170" s="85"/>
      <c r="E170" s="85"/>
      <c r="F170" s="85"/>
      <c r="G170" s="85"/>
      <c r="H170" s="85"/>
      <c r="I170" s="85"/>
      <c r="J170" s="86"/>
      <c r="K170" s="86" t="s">
        <v>106997</v>
      </c>
      <c r="L170" s="51">
        <v>80101500</v>
      </c>
      <c r="M170" s="97" t="s">
        <v>113509</v>
      </c>
      <c r="N170" s="89">
        <v>45565</v>
      </c>
      <c r="O170" s="89" t="s">
        <v>113067</v>
      </c>
      <c r="P170" s="90" t="s">
        <v>112997</v>
      </c>
      <c r="Q170" s="90" t="s">
        <v>113068</v>
      </c>
      <c r="R170" s="94">
        <v>10000000</v>
      </c>
      <c r="S170" s="92"/>
      <c r="T170" s="93" t="s">
        <v>113010</v>
      </c>
      <c r="U170" s="275">
        <v>94824</v>
      </c>
      <c r="V170" s="276">
        <v>10000000</v>
      </c>
      <c r="W170" s="276">
        <f t="shared" si="14"/>
        <v>0</v>
      </c>
      <c r="X170" s="276">
        <f t="shared" ref="X170:X179" si="16">V170-Z170</f>
        <v>1000000</v>
      </c>
      <c r="Y170" s="340" t="s">
        <v>113520</v>
      </c>
      <c r="Z170" s="432">
        <v>9000000</v>
      </c>
      <c r="AA170" s="443">
        <f t="shared" si="15"/>
        <v>1000000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113318</v>
      </c>
      <c r="N171" s="79"/>
      <c r="O171" s="79"/>
      <c r="P171" s="80"/>
      <c r="Q171" s="80"/>
      <c r="R171" s="81">
        <f>SUM(R172:R179)</f>
        <v>102395666</v>
      </c>
      <c r="S171" s="82"/>
      <c r="T171" s="96"/>
      <c r="U171" s="79"/>
      <c r="V171" s="378">
        <f>SUM(V172:V179)</f>
        <v>99795666</v>
      </c>
      <c r="W171" s="378">
        <f t="shared" si="14"/>
        <v>2600000</v>
      </c>
      <c r="X171" s="81">
        <f>SUM(X172:X179)</f>
        <v>12482331.329999998</v>
      </c>
      <c r="Y171" s="335"/>
      <c r="Z171" s="404">
        <f>SUM(Z172:Z179)</f>
        <v>87313334.670000002</v>
      </c>
      <c r="AA171" s="81">
        <f t="shared" si="15"/>
        <v>15082331.329999998</v>
      </c>
    </row>
    <row r="172" spans="2:27" ht="30" x14ac:dyDescent="0.25">
      <c r="B172" s="84"/>
      <c r="C172" s="85"/>
      <c r="D172" s="85"/>
      <c r="E172" s="85"/>
      <c r="F172" s="85"/>
      <c r="G172" s="85"/>
      <c r="H172" s="85"/>
      <c r="I172" s="85"/>
      <c r="J172" s="86"/>
      <c r="K172" s="86" t="s">
        <v>106997</v>
      </c>
      <c r="L172" s="87">
        <v>80101500</v>
      </c>
      <c r="M172" s="88" t="s">
        <v>113174</v>
      </c>
      <c r="N172" s="89">
        <v>45300</v>
      </c>
      <c r="O172" s="89" t="s">
        <v>113035</v>
      </c>
      <c r="P172" s="90" t="s">
        <v>113267</v>
      </c>
      <c r="Q172" s="90" t="s">
        <v>113051</v>
      </c>
      <c r="R172" s="91">
        <f>8200000-600000+1786666</f>
        <v>9386666</v>
      </c>
      <c r="S172" s="92"/>
      <c r="T172" s="93" t="s">
        <v>113052</v>
      </c>
      <c r="U172" s="275">
        <v>94624</v>
      </c>
      <c r="V172" s="276">
        <v>9386666</v>
      </c>
      <c r="W172" s="276">
        <f t="shared" si="14"/>
        <v>0</v>
      </c>
      <c r="X172" s="276">
        <f t="shared" si="16"/>
        <v>9386666</v>
      </c>
      <c r="Y172" s="340"/>
      <c r="Z172" s="432"/>
      <c r="AA172" s="443">
        <f t="shared" si="15"/>
        <v>9386666</v>
      </c>
    </row>
    <row r="173" spans="2:27" ht="30" x14ac:dyDescent="0.25">
      <c r="B173" s="84"/>
      <c r="C173" s="85"/>
      <c r="D173" s="85"/>
      <c r="E173" s="85"/>
      <c r="F173" s="85"/>
      <c r="G173" s="85"/>
      <c r="H173" s="85"/>
      <c r="I173" s="85"/>
      <c r="J173" s="86"/>
      <c r="K173" s="86" t="s">
        <v>106997</v>
      </c>
      <c r="L173" s="87">
        <v>80111600</v>
      </c>
      <c r="M173" s="88" t="s">
        <v>113174</v>
      </c>
      <c r="N173" s="89">
        <v>45300</v>
      </c>
      <c r="O173" s="89" t="s">
        <v>113057</v>
      </c>
      <c r="P173" s="90" t="s">
        <v>113009</v>
      </c>
      <c r="Q173" s="90" t="s">
        <v>113051</v>
      </c>
      <c r="R173" s="91">
        <v>28600000</v>
      </c>
      <c r="S173" s="92"/>
      <c r="T173" s="93" t="s">
        <v>113052</v>
      </c>
      <c r="U173" s="275">
        <v>6024</v>
      </c>
      <c r="V173" s="276">
        <v>28600000</v>
      </c>
      <c r="W173" s="276">
        <f t="shared" si="14"/>
        <v>0</v>
      </c>
      <c r="X173" s="276">
        <f t="shared" si="16"/>
        <v>953333.32999999821</v>
      </c>
      <c r="Y173" s="340" t="s">
        <v>113377</v>
      </c>
      <c r="Z173" s="432">
        <v>27646666.670000002</v>
      </c>
      <c r="AA173" s="443">
        <f t="shared" si="15"/>
        <v>953333.32999999821</v>
      </c>
    </row>
    <row r="174" spans="2:27" ht="30" x14ac:dyDescent="0.25">
      <c r="B174" s="84"/>
      <c r="C174" s="85"/>
      <c r="D174" s="85"/>
      <c r="E174" s="85"/>
      <c r="F174" s="85"/>
      <c r="G174" s="85"/>
      <c r="H174" s="85"/>
      <c r="I174" s="85"/>
      <c r="J174" s="86"/>
      <c r="K174" s="86" t="s">
        <v>106997</v>
      </c>
      <c r="L174" s="87">
        <v>80111600</v>
      </c>
      <c r="M174" s="88" t="s">
        <v>113174</v>
      </c>
      <c r="N174" s="89">
        <v>45300</v>
      </c>
      <c r="O174" s="89" t="s">
        <v>113057</v>
      </c>
      <c r="P174" s="90" t="s">
        <v>113003</v>
      </c>
      <c r="Q174" s="90" t="s">
        <v>113051</v>
      </c>
      <c r="R174" s="91">
        <f>24409000+2600000</f>
        <v>27009000</v>
      </c>
      <c r="S174" s="92"/>
      <c r="T174" s="93" t="s">
        <v>113052</v>
      </c>
      <c r="U174" s="275">
        <v>6124</v>
      </c>
      <c r="V174" s="276">
        <v>24409000</v>
      </c>
      <c r="W174" s="276">
        <f t="shared" si="14"/>
        <v>2600000</v>
      </c>
      <c r="X174" s="276">
        <f t="shared" si="16"/>
        <v>1009000</v>
      </c>
      <c r="Y174" s="340" t="s">
        <v>113379</v>
      </c>
      <c r="Z174" s="432">
        <v>23400000</v>
      </c>
      <c r="AA174" s="443">
        <f t="shared" si="15"/>
        <v>3609000</v>
      </c>
    </row>
    <row r="175" spans="2:27" ht="30" x14ac:dyDescent="0.25">
      <c r="B175" s="84"/>
      <c r="C175" s="85"/>
      <c r="D175" s="85"/>
      <c r="E175" s="85"/>
      <c r="F175" s="85"/>
      <c r="G175" s="85"/>
      <c r="H175" s="85"/>
      <c r="I175" s="85"/>
      <c r="J175" s="86"/>
      <c r="K175" s="86" t="s">
        <v>106997</v>
      </c>
      <c r="L175" s="87">
        <v>80111600</v>
      </c>
      <c r="M175" s="88" t="s">
        <v>113174</v>
      </c>
      <c r="N175" s="89">
        <v>45300</v>
      </c>
      <c r="O175" s="89" t="s">
        <v>113057</v>
      </c>
      <c r="P175" s="90"/>
      <c r="Q175" s="90" t="s">
        <v>113051</v>
      </c>
      <c r="R175" s="91">
        <v>0</v>
      </c>
      <c r="S175" s="92"/>
      <c r="T175" s="93" t="s">
        <v>113052</v>
      </c>
      <c r="U175" s="277"/>
      <c r="V175" s="276"/>
      <c r="W175" s="276">
        <f t="shared" si="14"/>
        <v>0</v>
      </c>
      <c r="X175" s="276">
        <f t="shared" si="16"/>
        <v>0</v>
      </c>
      <c r="Y175" s="340"/>
      <c r="Z175" s="432"/>
      <c r="AA175" s="443">
        <f t="shared" si="15"/>
        <v>0</v>
      </c>
    </row>
    <row r="176" spans="2:27" ht="30" x14ac:dyDescent="0.25">
      <c r="B176" s="84"/>
      <c r="C176" s="85"/>
      <c r="D176" s="85"/>
      <c r="E176" s="85"/>
      <c r="F176" s="85"/>
      <c r="G176" s="85"/>
      <c r="H176" s="85"/>
      <c r="I176" s="85"/>
      <c r="J176" s="86"/>
      <c r="K176" s="86" t="s">
        <v>106997</v>
      </c>
      <c r="L176" s="87">
        <v>80111600</v>
      </c>
      <c r="M176" s="88" t="s">
        <v>113174</v>
      </c>
      <c r="N176" s="89">
        <v>45300</v>
      </c>
      <c r="O176" s="89" t="s">
        <v>113057</v>
      </c>
      <c r="P176" s="90" t="s">
        <v>113170</v>
      </c>
      <c r="Q176" s="90" t="s">
        <v>113051</v>
      </c>
      <c r="R176" s="91">
        <f>11900000</f>
        <v>11900000</v>
      </c>
      <c r="S176" s="92"/>
      <c r="T176" s="93" t="s">
        <v>113052</v>
      </c>
      <c r="U176" s="275">
        <v>6224</v>
      </c>
      <c r="V176" s="276">
        <v>11900000</v>
      </c>
      <c r="W176" s="276">
        <f t="shared" si="14"/>
        <v>0</v>
      </c>
      <c r="X176" s="276">
        <f t="shared" si="16"/>
        <v>0</v>
      </c>
      <c r="Y176" s="340" t="s">
        <v>113380</v>
      </c>
      <c r="Z176" s="432">
        <v>11900000</v>
      </c>
      <c r="AA176" s="443">
        <f t="shared" si="15"/>
        <v>0</v>
      </c>
    </row>
    <row r="177" spans="2:27" ht="30" x14ac:dyDescent="0.25">
      <c r="B177" s="84"/>
      <c r="C177" s="85"/>
      <c r="D177" s="85"/>
      <c r="E177" s="85"/>
      <c r="F177" s="85"/>
      <c r="G177" s="85"/>
      <c r="H177" s="85"/>
      <c r="I177" s="85"/>
      <c r="J177" s="86"/>
      <c r="K177" s="86" t="s">
        <v>106997</v>
      </c>
      <c r="L177" s="87">
        <v>80111600</v>
      </c>
      <c r="M177" s="88" t="s">
        <v>113174</v>
      </c>
      <c r="N177" s="89">
        <v>45505</v>
      </c>
      <c r="O177" s="89" t="s">
        <v>113008</v>
      </c>
      <c r="P177" s="90" t="s">
        <v>113005</v>
      </c>
      <c r="Q177" s="90" t="s">
        <v>113051</v>
      </c>
      <c r="R177" s="91">
        <v>6800000</v>
      </c>
      <c r="S177" s="92"/>
      <c r="T177" s="93" t="s">
        <v>113052</v>
      </c>
      <c r="U177" s="275">
        <v>75424</v>
      </c>
      <c r="V177" s="276">
        <v>6800000</v>
      </c>
      <c r="W177" s="276">
        <f t="shared" si="14"/>
        <v>0</v>
      </c>
      <c r="X177" s="276">
        <f t="shared" si="16"/>
        <v>566666</v>
      </c>
      <c r="Y177" s="340" t="s">
        <v>113485</v>
      </c>
      <c r="Z177" s="432">
        <v>6233334</v>
      </c>
      <c r="AA177" s="443">
        <f t="shared" si="15"/>
        <v>566666</v>
      </c>
    </row>
    <row r="178" spans="2:27" ht="30" x14ac:dyDescent="0.25">
      <c r="B178" s="84"/>
      <c r="C178" s="85"/>
      <c r="D178" s="85"/>
      <c r="E178" s="85"/>
      <c r="F178" s="85"/>
      <c r="G178" s="85"/>
      <c r="H178" s="85"/>
      <c r="I178" s="85"/>
      <c r="J178" s="86"/>
      <c r="K178" s="86" t="s">
        <v>106997</v>
      </c>
      <c r="L178" s="87">
        <v>80111600</v>
      </c>
      <c r="M178" s="97" t="s">
        <v>113174</v>
      </c>
      <c r="N178" s="89">
        <v>45300</v>
      </c>
      <c r="O178" s="89" t="s">
        <v>113057</v>
      </c>
      <c r="P178" s="90" t="s">
        <v>113170</v>
      </c>
      <c r="Q178" s="90" t="s">
        <v>113051</v>
      </c>
      <c r="R178" s="91">
        <f>11900000</f>
        <v>11900000</v>
      </c>
      <c r="S178" s="92"/>
      <c r="T178" s="93" t="s">
        <v>113052</v>
      </c>
      <c r="U178" s="275">
        <v>6324</v>
      </c>
      <c r="V178" s="276">
        <v>11900000</v>
      </c>
      <c r="W178" s="276">
        <f t="shared" si="14"/>
        <v>0</v>
      </c>
      <c r="X178" s="276">
        <f t="shared" si="16"/>
        <v>0</v>
      </c>
      <c r="Y178" s="340" t="s">
        <v>113378</v>
      </c>
      <c r="Z178" s="432">
        <v>11900000</v>
      </c>
      <c r="AA178" s="443">
        <f t="shared" si="15"/>
        <v>0</v>
      </c>
    </row>
    <row r="179" spans="2:27" ht="30" x14ac:dyDescent="0.25">
      <c r="B179" s="84"/>
      <c r="C179" s="85"/>
      <c r="D179" s="85"/>
      <c r="E179" s="85"/>
      <c r="F179" s="85"/>
      <c r="G179" s="85"/>
      <c r="H179" s="85"/>
      <c r="I179" s="85"/>
      <c r="J179" s="86"/>
      <c r="K179" s="86" t="s">
        <v>106997</v>
      </c>
      <c r="L179" s="87">
        <v>80111600</v>
      </c>
      <c r="M179" s="88" t="s">
        <v>113174</v>
      </c>
      <c r="N179" s="89">
        <v>45505</v>
      </c>
      <c r="O179" s="89" t="s">
        <v>113008</v>
      </c>
      <c r="P179" s="90" t="s">
        <v>113005</v>
      </c>
      <c r="Q179" s="90" t="s">
        <v>113051</v>
      </c>
      <c r="R179" s="91">
        <v>6800000</v>
      </c>
      <c r="S179" s="92"/>
      <c r="T179" s="93" t="s">
        <v>113052</v>
      </c>
      <c r="U179" s="275">
        <v>75424</v>
      </c>
      <c r="V179" s="276">
        <v>6800000</v>
      </c>
      <c r="W179" s="276">
        <f t="shared" si="14"/>
        <v>0</v>
      </c>
      <c r="X179" s="276">
        <f t="shared" si="16"/>
        <v>566666</v>
      </c>
      <c r="Y179" s="340" t="s">
        <v>113485</v>
      </c>
      <c r="Z179" s="432">
        <v>6233334</v>
      </c>
      <c r="AA179" s="443">
        <f t="shared" si="15"/>
        <v>566666</v>
      </c>
    </row>
    <row r="180" spans="2:27" ht="30" x14ac:dyDescent="0.25">
      <c r="B180" s="306" t="s">
        <v>105516</v>
      </c>
      <c r="C180" s="306" t="s">
        <v>105573</v>
      </c>
      <c r="D180" s="306" t="s">
        <v>105573</v>
      </c>
      <c r="E180" s="306" t="s">
        <v>105573</v>
      </c>
      <c r="F180" s="306" t="s">
        <v>105553</v>
      </c>
      <c r="G180" s="306" t="s">
        <v>105541</v>
      </c>
      <c r="H180" s="68"/>
      <c r="I180" s="68"/>
      <c r="J180" s="68"/>
      <c r="K180" s="69"/>
      <c r="L180" s="69"/>
      <c r="M180" s="70" t="s">
        <v>107040</v>
      </c>
      <c r="N180" s="71"/>
      <c r="O180" s="71"/>
      <c r="P180" s="72"/>
      <c r="Q180" s="72"/>
      <c r="R180" s="73">
        <f>+R181+R185</f>
        <v>58320000</v>
      </c>
      <c r="S180" s="74"/>
      <c r="T180" s="75"/>
      <c r="U180" s="71" t="s">
        <v>112994</v>
      </c>
      <c r="V180" s="377">
        <f>+V181+V185</f>
        <v>37916735.539999999</v>
      </c>
      <c r="W180" s="377">
        <f t="shared" si="14"/>
        <v>20403264.460000001</v>
      </c>
      <c r="X180" s="73">
        <f>+X181+X185</f>
        <v>0</v>
      </c>
      <c r="Y180" s="334"/>
      <c r="Z180" s="403">
        <f>+Z181+Z185</f>
        <v>37916735.539999999</v>
      </c>
      <c r="AA180" s="73">
        <f t="shared" si="15"/>
        <v>20403264.460000001</v>
      </c>
    </row>
    <row r="181" spans="2:27"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362"/>
      <c r="V181" s="378">
        <f>SUM(V182:V184)</f>
        <v>33903687</v>
      </c>
      <c r="W181" s="378">
        <f t="shared" si="14"/>
        <v>15896313</v>
      </c>
      <c r="X181" s="81">
        <f>SUM(X182:X184)</f>
        <v>0</v>
      </c>
      <c r="Y181" s="335"/>
      <c r="Z181" s="404">
        <f>SUM(Z182:Z184)</f>
        <v>33903687</v>
      </c>
      <c r="AA181" s="81">
        <f t="shared" si="15"/>
        <v>15896313</v>
      </c>
    </row>
    <row r="182" spans="2:27" x14ac:dyDescent="0.25">
      <c r="B182" s="84"/>
      <c r="C182" s="85"/>
      <c r="D182" s="85"/>
      <c r="E182" s="85"/>
      <c r="F182" s="85"/>
      <c r="G182" s="85"/>
      <c r="H182" s="85"/>
      <c r="I182" s="85"/>
      <c r="J182" s="86"/>
      <c r="K182" s="86" t="s">
        <v>107039</v>
      </c>
      <c r="L182" s="51"/>
      <c r="M182" s="88" t="s">
        <v>113091</v>
      </c>
      <c r="N182" s="89">
        <v>45293</v>
      </c>
      <c r="O182" s="89" t="s">
        <v>113057</v>
      </c>
      <c r="P182" s="121" t="s">
        <v>113065</v>
      </c>
      <c r="Q182" s="90" t="s">
        <v>113029</v>
      </c>
      <c r="R182" s="91">
        <v>15000000</v>
      </c>
      <c r="S182" s="119"/>
      <c r="T182" s="93" t="s">
        <v>113061</v>
      </c>
      <c r="U182" s="275" t="s">
        <v>113499</v>
      </c>
      <c r="V182" s="355">
        <f>15065467-65467</f>
        <v>15000000</v>
      </c>
      <c r="W182" s="355">
        <f t="shared" si="14"/>
        <v>0</v>
      </c>
      <c r="X182" s="276">
        <f>V182-Z182</f>
        <v>0</v>
      </c>
      <c r="Y182" s="340" t="s">
        <v>113500</v>
      </c>
      <c r="Z182" s="435">
        <v>15000000</v>
      </c>
      <c r="AA182" s="443">
        <f t="shared" si="15"/>
        <v>0</v>
      </c>
    </row>
    <row r="183" spans="2:27" ht="29.25" customHeight="1" x14ac:dyDescent="0.25">
      <c r="B183" s="84"/>
      <c r="C183" s="85"/>
      <c r="D183" s="85"/>
      <c r="E183" s="85"/>
      <c r="F183" s="85"/>
      <c r="G183" s="85"/>
      <c r="H183" s="85"/>
      <c r="I183" s="85"/>
      <c r="J183" s="86"/>
      <c r="K183" s="86" t="s">
        <v>107039</v>
      </c>
      <c r="L183" s="51"/>
      <c r="M183" s="97" t="s">
        <v>113092</v>
      </c>
      <c r="N183" s="89">
        <v>45293</v>
      </c>
      <c r="O183" s="89" t="s">
        <v>113057</v>
      </c>
      <c r="P183" s="121" t="s">
        <v>113065</v>
      </c>
      <c r="Q183" s="90" t="s">
        <v>113029</v>
      </c>
      <c r="R183" s="91">
        <f>16800000+16000000</f>
        <v>32800000</v>
      </c>
      <c r="S183" s="92"/>
      <c r="T183" s="93" t="s">
        <v>113061</v>
      </c>
      <c r="U183" s="275" t="s">
        <v>113498</v>
      </c>
      <c r="V183" s="355">
        <f>16662845+65467+1671870+503505</f>
        <v>18903687</v>
      </c>
      <c r="W183" s="355">
        <f t="shared" si="14"/>
        <v>13896313</v>
      </c>
      <c r="X183" s="276">
        <f>V183-Z183</f>
        <v>0</v>
      </c>
      <c r="Y183" s="340" t="s">
        <v>113501</v>
      </c>
      <c r="Z183" s="435">
        <f>16662845+65467+1671870+503505</f>
        <v>18903687</v>
      </c>
      <c r="AA183" s="443">
        <f t="shared" si="15"/>
        <v>13896313</v>
      </c>
    </row>
    <row r="184" spans="2:27" x14ac:dyDescent="0.25">
      <c r="B184" s="84"/>
      <c r="C184" s="85"/>
      <c r="D184" s="85"/>
      <c r="E184" s="85"/>
      <c r="F184" s="85"/>
      <c r="G184" s="85"/>
      <c r="H184" s="85"/>
      <c r="I184" s="85"/>
      <c r="J184" s="86"/>
      <c r="K184" s="86" t="s">
        <v>107039</v>
      </c>
      <c r="L184" s="51"/>
      <c r="M184" s="97" t="s">
        <v>113093</v>
      </c>
      <c r="N184" s="89" t="s">
        <v>113029</v>
      </c>
      <c r="O184" s="89" t="s">
        <v>113029</v>
      </c>
      <c r="P184" s="90" t="s">
        <v>113029</v>
      </c>
      <c r="Q184" s="90" t="s">
        <v>113029</v>
      </c>
      <c r="R184" s="91">
        <v>2000000</v>
      </c>
      <c r="S184" s="119"/>
      <c r="T184" s="93" t="s">
        <v>113030</v>
      </c>
      <c r="U184" s="277"/>
      <c r="V184" s="276"/>
      <c r="W184" s="276">
        <f t="shared" si="14"/>
        <v>2000000</v>
      </c>
      <c r="X184" s="276">
        <f>V184-Z184</f>
        <v>0</v>
      </c>
      <c r="Y184" s="340"/>
      <c r="Z184" s="432"/>
      <c r="AA184" s="443">
        <f t="shared" si="15"/>
        <v>2000000</v>
      </c>
    </row>
    <row r="185" spans="2:27" x14ac:dyDescent="0.25">
      <c r="B185" s="76" t="s">
        <v>105516</v>
      </c>
      <c r="C185" s="76" t="s">
        <v>105573</v>
      </c>
      <c r="D185" s="76" t="s">
        <v>105573</v>
      </c>
      <c r="E185" s="76" t="s">
        <v>105573</v>
      </c>
      <c r="F185" s="76" t="s">
        <v>105553</v>
      </c>
      <c r="G185" s="76" t="s">
        <v>105541</v>
      </c>
      <c r="H185" s="76" t="s">
        <v>105573</v>
      </c>
      <c r="I185" s="76"/>
      <c r="J185" s="76"/>
      <c r="K185" s="76"/>
      <c r="L185" s="76"/>
      <c r="M185" s="78" t="s">
        <v>113319</v>
      </c>
      <c r="N185" s="79"/>
      <c r="O185" s="79"/>
      <c r="P185" s="80"/>
      <c r="Q185" s="80"/>
      <c r="R185" s="81">
        <f>SUM(R186+R187)</f>
        <v>8520000</v>
      </c>
      <c r="S185" s="82"/>
      <c r="T185" s="96"/>
      <c r="U185" s="321"/>
      <c r="V185" s="378">
        <f>SUM(V186:V187)</f>
        <v>4013048.54</v>
      </c>
      <c r="W185" s="378">
        <f t="shared" si="14"/>
        <v>4506951.46</v>
      </c>
      <c r="X185" s="81">
        <f>SUM(X186:X187)</f>
        <v>0</v>
      </c>
      <c r="Y185" s="339"/>
      <c r="Z185" s="404">
        <f>SUM(Z186:Z187)</f>
        <v>4013048.54</v>
      </c>
      <c r="AA185" s="81">
        <f t="shared" si="15"/>
        <v>4506951.46</v>
      </c>
    </row>
    <row r="186" spans="2:27" ht="45.75" customHeight="1" x14ac:dyDescent="0.25">
      <c r="B186" s="272"/>
      <c r="C186" s="86"/>
      <c r="D186" s="86"/>
      <c r="E186" s="86"/>
      <c r="F186" s="86"/>
      <c r="G186" s="86"/>
      <c r="H186" s="86"/>
      <c r="I186" s="86"/>
      <c r="J186" s="86"/>
      <c r="K186" s="86" t="s">
        <v>107039</v>
      </c>
      <c r="L186" s="51">
        <v>81112100</v>
      </c>
      <c r="M186" s="88" t="s">
        <v>113238</v>
      </c>
      <c r="N186" s="89">
        <v>45414</v>
      </c>
      <c r="O186" s="89" t="s">
        <v>113167</v>
      </c>
      <c r="P186" s="90" t="s">
        <v>113001</v>
      </c>
      <c r="Q186" s="90" t="s">
        <v>113039</v>
      </c>
      <c r="R186" s="91">
        <f>4200000+600000</f>
        <v>4800000</v>
      </c>
      <c r="S186" s="261">
        <v>5088000</v>
      </c>
      <c r="T186" s="93" t="s">
        <v>113002</v>
      </c>
      <c r="U186" s="275">
        <v>924</v>
      </c>
      <c r="V186" s="276">
        <v>4013048.54</v>
      </c>
      <c r="W186" s="276">
        <f t="shared" si="14"/>
        <v>786951.46</v>
      </c>
      <c r="X186" s="276">
        <f>V186-Z186</f>
        <v>0</v>
      </c>
      <c r="Y186" s="340" t="s">
        <v>113497</v>
      </c>
      <c r="Z186" s="433">
        <v>4013048.54</v>
      </c>
      <c r="AA186" s="443">
        <f t="shared" si="15"/>
        <v>786951.46</v>
      </c>
    </row>
    <row r="187" spans="2:27" ht="45" customHeight="1" x14ac:dyDescent="0.25">
      <c r="B187" s="272"/>
      <c r="C187" s="86"/>
      <c r="D187" s="86"/>
      <c r="E187" s="86"/>
      <c r="F187" s="86"/>
      <c r="G187" s="86"/>
      <c r="H187" s="86"/>
      <c r="I187" s="86"/>
      <c r="J187" s="86"/>
      <c r="K187" s="86" t="s">
        <v>107039</v>
      </c>
      <c r="L187" s="51">
        <v>81112100</v>
      </c>
      <c r="M187" s="97" t="s">
        <v>113094</v>
      </c>
      <c r="N187" s="89">
        <v>45422</v>
      </c>
      <c r="O187" s="89" t="s">
        <v>112996</v>
      </c>
      <c r="P187" s="121" t="s">
        <v>113065</v>
      </c>
      <c r="Q187" s="90" t="s">
        <v>113039</v>
      </c>
      <c r="R187" s="91">
        <v>3720000</v>
      </c>
      <c r="S187" s="91"/>
      <c r="T187" s="93" t="s">
        <v>113002</v>
      </c>
      <c r="U187" s="275"/>
      <c r="V187" s="276"/>
      <c r="W187" s="276">
        <f t="shared" si="14"/>
        <v>3720000</v>
      </c>
      <c r="X187" s="276"/>
      <c r="Y187" s="340"/>
      <c r="Z187" s="433"/>
      <c r="AA187" s="443">
        <f t="shared" si="15"/>
        <v>3720000</v>
      </c>
    </row>
    <row r="188" spans="2:27" x14ac:dyDescent="0.25">
      <c r="B188" s="306" t="s">
        <v>105516</v>
      </c>
      <c r="C188" s="306" t="s">
        <v>105573</v>
      </c>
      <c r="D188" s="306" t="s">
        <v>105573</v>
      </c>
      <c r="E188" s="306" t="s">
        <v>105573</v>
      </c>
      <c r="F188" s="306" t="s">
        <v>105553</v>
      </c>
      <c r="G188" s="307" t="s">
        <v>105544</v>
      </c>
      <c r="H188" s="68"/>
      <c r="I188" s="68"/>
      <c r="J188" s="68"/>
      <c r="K188" s="69"/>
      <c r="L188" s="69"/>
      <c r="M188" s="70" t="s">
        <v>107054</v>
      </c>
      <c r="N188" s="71"/>
      <c r="O188" s="71"/>
      <c r="P188" s="72"/>
      <c r="Q188" s="72"/>
      <c r="R188" s="73">
        <f>+R191+R189</f>
        <v>75749628</v>
      </c>
      <c r="S188" s="74"/>
      <c r="T188" s="75"/>
      <c r="U188" s="71" t="s">
        <v>112994</v>
      </c>
      <c r="V188" s="377">
        <f>+V191+V189</f>
        <v>75749628</v>
      </c>
      <c r="W188" s="377">
        <f t="shared" si="14"/>
        <v>0</v>
      </c>
      <c r="X188" s="73">
        <f>+X191+X189</f>
        <v>75749628</v>
      </c>
      <c r="Y188" s="334"/>
      <c r="Z188" s="403">
        <f>+Z191+Z189</f>
        <v>0</v>
      </c>
      <c r="AA188" s="73">
        <f t="shared" si="15"/>
        <v>75749628</v>
      </c>
    </row>
    <row r="189" spans="2:27"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78">
        <f>V190</f>
        <v>65749628</v>
      </c>
      <c r="W189" s="378">
        <f t="shared" si="14"/>
        <v>0</v>
      </c>
      <c r="X189" s="81">
        <f>X190</f>
        <v>65749628</v>
      </c>
      <c r="Y189" s="335"/>
      <c r="Z189" s="404">
        <f>Z190</f>
        <v>0</v>
      </c>
      <c r="AA189" s="81">
        <f t="shared" si="15"/>
        <v>65749628</v>
      </c>
    </row>
    <row r="190" spans="2:27" ht="19.5" customHeight="1" x14ac:dyDescent="0.25">
      <c r="B190" s="84"/>
      <c r="C190" s="85"/>
      <c r="D190" s="85"/>
      <c r="E190" s="85"/>
      <c r="F190" s="85"/>
      <c r="G190" s="85"/>
      <c r="H190" s="85"/>
      <c r="I190" s="85"/>
      <c r="J190" s="86"/>
      <c r="K190" s="86" t="s">
        <v>107053</v>
      </c>
      <c r="L190" s="87">
        <v>93141800</v>
      </c>
      <c r="M190" s="97" t="s">
        <v>113486</v>
      </c>
      <c r="N190" s="89">
        <v>45585</v>
      </c>
      <c r="O190" s="89" t="s">
        <v>113067</v>
      </c>
      <c r="P190" s="90" t="s">
        <v>113165</v>
      </c>
      <c r="Q190" s="90" t="s">
        <v>113029</v>
      </c>
      <c r="R190" s="94">
        <v>65749628</v>
      </c>
      <c r="S190" s="119"/>
      <c r="T190" s="93" t="s">
        <v>113010</v>
      </c>
      <c r="U190" s="275">
        <v>87724</v>
      </c>
      <c r="V190" s="380">
        <v>65749628</v>
      </c>
      <c r="W190" s="380">
        <f t="shared" si="14"/>
        <v>0</v>
      </c>
      <c r="X190" s="276">
        <f>V190-Z190</f>
        <v>65749628</v>
      </c>
      <c r="Y190" s="340"/>
      <c r="Z190" s="432"/>
      <c r="AA190" s="443">
        <f t="shared" si="15"/>
        <v>65749628</v>
      </c>
    </row>
    <row r="191" spans="2:27"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78">
        <f t="shared" ref="V191:X192" si="17">+V192</f>
        <v>10000000</v>
      </c>
      <c r="W191" s="378">
        <f t="shared" si="14"/>
        <v>0</v>
      </c>
      <c r="X191" s="81">
        <f t="shared" si="17"/>
        <v>10000000</v>
      </c>
      <c r="Y191" s="335"/>
      <c r="Z191" s="404">
        <f>+Z192</f>
        <v>0</v>
      </c>
      <c r="AA191" s="81">
        <f t="shared" si="15"/>
        <v>10000000</v>
      </c>
    </row>
    <row r="192" spans="2:27"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78">
        <f t="shared" si="17"/>
        <v>10000000</v>
      </c>
      <c r="W192" s="378">
        <f t="shared" si="14"/>
        <v>0</v>
      </c>
      <c r="X192" s="81">
        <f t="shared" si="17"/>
        <v>10000000</v>
      </c>
      <c r="Y192" s="335"/>
      <c r="Z192" s="404">
        <f>+Z193</f>
        <v>0</v>
      </c>
      <c r="AA192" s="81">
        <f t="shared" si="15"/>
        <v>10000000</v>
      </c>
    </row>
    <row r="193" spans="2:27" ht="30" x14ac:dyDescent="0.25">
      <c r="B193" s="84"/>
      <c r="C193" s="85"/>
      <c r="D193" s="85"/>
      <c r="E193" s="85"/>
      <c r="F193" s="85"/>
      <c r="G193" s="85"/>
      <c r="H193" s="85"/>
      <c r="I193" s="85"/>
      <c r="J193" s="86"/>
      <c r="K193" s="86" t="s">
        <v>107053</v>
      </c>
      <c r="L193" s="87" t="s">
        <v>113095</v>
      </c>
      <c r="M193" s="97" t="s">
        <v>113257</v>
      </c>
      <c r="N193" s="89">
        <v>45488</v>
      </c>
      <c r="O193" s="89" t="s">
        <v>113008</v>
      </c>
      <c r="P193" s="90" t="s">
        <v>113165</v>
      </c>
      <c r="Q193" s="90" t="s">
        <v>113088</v>
      </c>
      <c r="R193" s="94">
        <v>10000000</v>
      </c>
      <c r="S193" s="119"/>
      <c r="T193" s="93" t="s">
        <v>113027</v>
      </c>
      <c r="U193" s="275">
        <v>87324</v>
      </c>
      <c r="V193" s="276">
        <v>10000000</v>
      </c>
      <c r="W193" s="276">
        <f t="shared" si="14"/>
        <v>0</v>
      </c>
      <c r="X193" s="276">
        <f>V193-Z193</f>
        <v>10000000</v>
      </c>
      <c r="Y193" s="340"/>
      <c r="Z193" s="432"/>
      <c r="AA193" s="443">
        <f t="shared" si="15"/>
        <v>10000000</v>
      </c>
    </row>
    <row r="194" spans="2:27" ht="39.75" customHeight="1" x14ac:dyDescent="0.25">
      <c r="B194" s="306" t="s">
        <v>105516</v>
      </c>
      <c r="C194" s="306" t="s">
        <v>105573</v>
      </c>
      <c r="D194" s="306" t="s">
        <v>105573</v>
      </c>
      <c r="E194" s="306" t="s">
        <v>105573</v>
      </c>
      <c r="F194" s="306" t="s">
        <v>105553</v>
      </c>
      <c r="G194" s="306" t="s">
        <v>105550</v>
      </c>
      <c r="H194" s="68"/>
      <c r="I194" s="68"/>
      <c r="J194" s="68"/>
      <c r="K194" s="69"/>
      <c r="L194" s="69"/>
      <c r="M194" s="70" t="s">
        <v>107092</v>
      </c>
      <c r="N194" s="71"/>
      <c r="O194" s="71"/>
      <c r="P194" s="72"/>
      <c r="Q194" s="72"/>
      <c r="R194" s="73">
        <f>+R195</f>
        <v>180912000</v>
      </c>
      <c r="S194" s="74"/>
      <c r="T194" s="75"/>
      <c r="U194" s="71" t="s">
        <v>112994</v>
      </c>
      <c r="V194" s="377">
        <f>+V195</f>
        <v>166961116.46000001</v>
      </c>
      <c r="W194" s="377">
        <f t="shared" si="14"/>
        <v>13950883.539999992</v>
      </c>
      <c r="X194" s="73">
        <f>+X195</f>
        <v>13412000</v>
      </c>
      <c r="Y194" s="334"/>
      <c r="Z194" s="403">
        <f>+Z195</f>
        <v>153549116.46000001</v>
      </c>
      <c r="AA194" s="73">
        <f t="shared" si="15"/>
        <v>27362883.539999992</v>
      </c>
    </row>
    <row r="195" spans="2:27"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78">
        <f>+V196+V198+V203</f>
        <v>166961116.46000001</v>
      </c>
      <c r="W195" s="378">
        <f t="shared" si="14"/>
        <v>13950883.539999992</v>
      </c>
      <c r="X195" s="81">
        <f>+X196+X198+X203</f>
        <v>13412000</v>
      </c>
      <c r="Y195" s="335"/>
      <c r="Z195" s="404">
        <f>+Z196+Z198+Z203</f>
        <v>153549116.46000001</v>
      </c>
      <c r="AA195" s="81">
        <f t="shared" si="15"/>
        <v>27362883.539999992</v>
      </c>
    </row>
    <row r="196" spans="2:27"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113320</v>
      </c>
      <c r="N196" s="79"/>
      <c r="O196" s="79"/>
      <c r="P196" s="80"/>
      <c r="Q196" s="80"/>
      <c r="R196" s="81">
        <f>+R197</f>
        <v>40000000</v>
      </c>
      <c r="S196" s="82"/>
      <c r="T196" s="96"/>
      <c r="U196" s="79"/>
      <c r="V196" s="378">
        <f>+V197</f>
        <v>40000000</v>
      </c>
      <c r="W196" s="378">
        <f t="shared" si="14"/>
        <v>0</v>
      </c>
      <c r="X196" s="81">
        <f>+X197</f>
        <v>0</v>
      </c>
      <c r="Y196" s="335"/>
      <c r="Z196" s="404">
        <f>+Z197</f>
        <v>40000000</v>
      </c>
      <c r="AA196" s="81">
        <f t="shared" si="15"/>
        <v>0</v>
      </c>
    </row>
    <row r="197" spans="2:27" ht="78.75" customHeight="1" x14ac:dyDescent="0.25">
      <c r="B197" s="84"/>
      <c r="C197" s="85"/>
      <c r="D197" s="85"/>
      <c r="E197" s="85"/>
      <c r="F197" s="85"/>
      <c r="G197" s="85"/>
      <c r="H197" s="85"/>
      <c r="I197" s="85"/>
      <c r="J197" s="86"/>
      <c r="K197" s="86" t="s">
        <v>107091</v>
      </c>
      <c r="L197" s="87" t="s">
        <v>113097</v>
      </c>
      <c r="M197" s="88" t="s">
        <v>113502</v>
      </c>
      <c r="N197" s="89">
        <v>45536</v>
      </c>
      <c r="O197" s="89" t="s">
        <v>113074</v>
      </c>
      <c r="P197" s="90" t="s">
        <v>113005</v>
      </c>
      <c r="Q197" s="90" t="s">
        <v>113089</v>
      </c>
      <c r="R197" s="94">
        <f>80000000-40000000</f>
        <v>40000000</v>
      </c>
      <c r="S197" s="92"/>
      <c r="T197" s="93" t="s">
        <v>113002</v>
      </c>
      <c r="U197" s="275">
        <v>81024</v>
      </c>
      <c r="V197" s="276">
        <f>80000000-40000000</f>
        <v>40000000</v>
      </c>
      <c r="W197" s="276">
        <f t="shared" si="14"/>
        <v>0</v>
      </c>
      <c r="X197" s="276">
        <f>V197-Z197</f>
        <v>0</v>
      </c>
      <c r="Y197" s="340" t="s">
        <v>113516</v>
      </c>
      <c r="Z197" s="432">
        <v>40000000</v>
      </c>
      <c r="AA197" s="443">
        <f t="shared" si="15"/>
        <v>0</v>
      </c>
    </row>
    <row r="198" spans="2:27"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78">
        <f>SUM(V199:V202)</f>
        <v>82580000</v>
      </c>
      <c r="W198" s="378">
        <f t="shared" si="14"/>
        <v>11420000</v>
      </c>
      <c r="X198" s="81">
        <f>SUM(X199:X202)</f>
        <v>5500000</v>
      </c>
      <c r="Y198" s="335"/>
      <c r="Z198" s="404">
        <f>SUM(Z199:Z202)</f>
        <v>77080000</v>
      </c>
      <c r="AA198" s="81">
        <f t="shared" si="15"/>
        <v>16920000</v>
      </c>
    </row>
    <row r="199" spans="2:27" ht="85.5" customHeight="1" x14ac:dyDescent="0.25">
      <c r="B199" s="84"/>
      <c r="C199" s="85"/>
      <c r="D199" s="85"/>
      <c r="E199" s="85"/>
      <c r="F199" s="85"/>
      <c r="G199" s="85"/>
      <c r="H199" s="85"/>
      <c r="I199" s="85"/>
      <c r="J199" s="86"/>
      <c r="K199" s="86" t="s">
        <v>107091</v>
      </c>
      <c r="L199" s="87" t="s">
        <v>113180</v>
      </c>
      <c r="M199" s="88" t="s">
        <v>113098</v>
      </c>
      <c r="N199" s="89">
        <v>45313</v>
      </c>
      <c r="O199" s="89" t="s">
        <v>113035</v>
      </c>
      <c r="P199" s="90" t="s">
        <v>113009</v>
      </c>
      <c r="Q199" s="90" t="s">
        <v>113089</v>
      </c>
      <c r="R199" s="91">
        <f>50000000+11000000</f>
        <v>61000000</v>
      </c>
      <c r="S199" s="92"/>
      <c r="T199" s="93" t="s">
        <v>113033</v>
      </c>
      <c r="U199" s="275">
        <v>8224</v>
      </c>
      <c r="V199" s="276">
        <v>50000000</v>
      </c>
      <c r="W199" s="276">
        <f t="shared" si="14"/>
        <v>11000000</v>
      </c>
      <c r="X199" s="276">
        <f>V199-Z199</f>
        <v>0</v>
      </c>
      <c r="Y199" s="340" t="s">
        <v>113400</v>
      </c>
      <c r="Z199" s="432">
        <v>50000000</v>
      </c>
      <c r="AA199" s="443">
        <f t="shared" si="15"/>
        <v>11000000</v>
      </c>
    </row>
    <row r="200" spans="2:27" ht="63.75" customHeight="1" x14ac:dyDescent="0.25">
      <c r="B200" s="84"/>
      <c r="C200" s="85"/>
      <c r="D200" s="85"/>
      <c r="E200" s="85"/>
      <c r="F200" s="85"/>
      <c r="G200" s="85"/>
      <c r="H200" s="85"/>
      <c r="I200" s="85"/>
      <c r="J200" s="86"/>
      <c r="K200" s="86"/>
      <c r="L200" s="87" t="s">
        <v>113118</v>
      </c>
      <c r="M200" s="88" t="s">
        <v>113213</v>
      </c>
      <c r="N200" s="89"/>
      <c r="O200" s="89"/>
      <c r="P200" s="90"/>
      <c r="Q200" s="90"/>
      <c r="R200" s="91">
        <v>16500000</v>
      </c>
      <c r="S200" s="92"/>
      <c r="T200" s="93" t="s">
        <v>112999</v>
      </c>
      <c r="U200" s="275">
        <v>1024</v>
      </c>
      <c r="V200" s="276">
        <v>16080000</v>
      </c>
      <c r="W200" s="276">
        <f t="shared" ref="W200:W263" si="18">R200-V200</f>
        <v>420000</v>
      </c>
      <c r="X200" s="276">
        <f>V200-Z200</f>
        <v>0</v>
      </c>
      <c r="Y200" s="340" t="s">
        <v>113402</v>
      </c>
      <c r="Z200" s="432">
        <v>16080000</v>
      </c>
      <c r="AA200" s="443">
        <f t="shared" ref="AA200:AA263" si="19">R200-Z200</f>
        <v>420000</v>
      </c>
    </row>
    <row r="201" spans="2:27" ht="60" x14ac:dyDescent="0.25">
      <c r="B201" s="84"/>
      <c r="C201" s="85"/>
      <c r="D201" s="85"/>
      <c r="E201" s="85"/>
      <c r="F201" s="85"/>
      <c r="G201" s="85"/>
      <c r="H201" s="85"/>
      <c r="I201" s="85"/>
      <c r="J201" s="86"/>
      <c r="K201" s="86"/>
      <c r="L201" s="87" t="s">
        <v>113118</v>
      </c>
      <c r="M201" s="88" t="s">
        <v>113214</v>
      </c>
      <c r="N201" s="89">
        <v>45397</v>
      </c>
      <c r="O201" s="89" t="s">
        <v>113082</v>
      </c>
      <c r="P201" s="90" t="s">
        <v>113166</v>
      </c>
      <c r="Q201" s="90" t="s">
        <v>113066</v>
      </c>
      <c r="R201" s="91">
        <f>16500000-5500000</f>
        <v>11000000</v>
      </c>
      <c r="S201" s="261">
        <v>17520000</v>
      </c>
      <c r="T201" s="93" t="s">
        <v>112999</v>
      </c>
      <c r="U201" s="275">
        <v>27624</v>
      </c>
      <c r="V201" s="276">
        <v>11000000</v>
      </c>
      <c r="W201" s="276">
        <f t="shared" si="18"/>
        <v>0</v>
      </c>
      <c r="X201" s="276">
        <f>V201-Z201</f>
        <v>0</v>
      </c>
      <c r="Y201" s="340" t="s">
        <v>113514</v>
      </c>
      <c r="Z201" s="432">
        <v>11000000</v>
      </c>
      <c r="AA201" s="443">
        <f t="shared" si="19"/>
        <v>0</v>
      </c>
    </row>
    <row r="202" spans="2:27" ht="85.5" customHeight="1" x14ac:dyDescent="0.25">
      <c r="B202" s="84"/>
      <c r="C202" s="85"/>
      <c r="D202" s="85"/>
      <c r="E202" s="85"/>
      <c r="F202" s="85"/>
      <c r="G202" s="85"/>
      <c r="H202" s="85"/>
      <c r="I202" s="85"/>
      <c r="J202" s="86"/>
      <c r="K202" s="86"/>
      <c r="L202" s="87" t="s">
        <v>113118</v>
      </c>
      <c r="M202" s="88" t="s">
        <v>113467</v>
      </c>
      <c r="N202" s="89">
        <v>45544</v>
      </c>
      <c r="O202" s="89" t="s">
        <v>113074</v>
      </c>
      <c r="P202" s="90" t="s">
        <v>113468</v>
      </c>
      <c r="Q202" s="90" t="s">
        <v>113066</v>
      </c>
      <c r="R202" s="91">
        <v>5500000</v>
      </c>
      <c r="S202" s="92"/>
      <c r="T202" s="93" t="s">
        <v>112999</v>
      </c>
      <c r="U202" s="275">
        <v>81624</v>
      </c>
      <c r="V202" s="276">
        <v>5500000</v>
      </c>
      <c r="W202" s="276">
        <f t="shared" si="18"/>
        <v>0</v>
      </c>
      <c r="X202" s="276">
        <f>V202-Z202</f>
        <v>5500000</v>
      </c>
      <c r="Y202" s="340"/>
      <c r="Z202" s="432"/>
      <c r="AA202" s="443">
        <f t="shared" si="19"/>
        <v>5500000</v>
      </c>
    </row>
    <row r="203" spans="2:27"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78">
        <f>SUM(V204:V209)</f>
        <v>44381116.460000001</v>
      </c>
      <c r="W203" s="378">
        <f t="shared" si="18"/>
        <v>2530883.5399999991</v>
      </c>
      <c r="X203" s="81">
        <f>SUM(X204:X209)</f>
        <v>7912000</v>
      </c>
      <c r="Y203" s="335"/>
      <c r="Z203" s="404">
        <f>SUM(Z204:Z209)</f>
        <v>36469116.460000001</v>
      </c>
      <c r="AA203" s="81">
        <f t="shared" si="19"/>
        <v>10442883.539999999</v>
      </c>
    </row>
    <row r="204" spans="2:27" ht="75" x14ac:dyDescent="0.25">
      <c r="B204" s="84"/>
      <c r="C204" s="85"/>
      <c r="D204" s="85"/>
      <c r="E204" s="85"/>
      <c r="F204" s="85"/>
      <c r="G204" s="85"/>
      <c r="H204" s="85"/>
      <c r="I204" s="85"/>
      <c r="J204" s="86"/>
      <c r="K204" s="86" t="s">
        <v>107091</v>
      </c>
      <c r="L204" s="87">
        <v>72154100</v>
      </c>
      <c r="M204" s="88" t="s">
        <v>113242</v>
      </c>
      <c r="N204" s="89"/>
      <c r="O204" s="89"/>
      <c r="P204" s="90"/>
      <c r="Q204" s="89"/>
      <c r="R204" s="91">
        <v>10956000</v>
      </c>
      <c r="S204" s="92"/>
      <c r="T204" s="93" t="s">
        <v>112999</v>
      </c>
      <c r="U204" s="275">
        <v>724</v>
      </c>
      <c r="V204" s="276">
        <v>10680000</v>
      </c>
      <c r="W204" s="276">
        <f t="shared" si="18"/>
        <v>276000</v>
      </c>
      <c r="X204" s="276">
        <f t="shared" ref="X204:X209" si="20">V204-Z204</f>
        <v>0</v>
      </c>
      <c r="Y204" s="340" t="s">
        <v>113401</v>
      </c>
      <c r="Z204" s="432">
        <v>10680000</v>
      </c>
      <c r="AA204" s="443">
        <f t="shared" si="19"/>
        <v>276000</v>
      </c>
    </row>
    <row r="205" spans="2:27" ht="47.25" customHeight="1" x14ac:dyDescent="0.25">
      <c r="B205" s="124"/>
      <c r="C205" s="125"/>
      <c r="D205" s="125"/>
      <c r="E205" s="125"/>
      <c r="F205" s="125"/>
      <c r="G205" s="125"/>
      <c r="H205" s="125"/>
      <c r="I205" s="125"/>
      <c r="J205" s="126"/>
      <c r="K205" s="86" t="s">
        <v>107091</v>
      </c>
      <c r="L205" s="87">
        <v>81101713</v>
      </c>
      <c r="M205" s="88" t="s">
        <v>113343</v>
      </c>
      <c r="N205" s="89">
        <v>42933</v>
      </c>
      <c r="O205" s="89" t="s">
        <v>112996</v>
      </c>
      <c r="P205" s="121" t="s">
        <v>112997</v>
      </c>
      <c r="Q205" s="89" t="s">
        <v>113050</v>
      </c>
      <c r="R205" s="94">
        <v>6000000</v>
      </c>
      <c r="S205" s="128"/>
      <c r="T205" s="93" t="s">
        <v>112999</v>
      </c>
      <c r="U205" s="275">
        <v>71424</v>
      </c>
      <c r="V205" s="276">
        <v>6000000</v>
      </c>
      <c r="W205" s="276">
        <f t="shared" si="18"/>
        <v>0</v>
      </c>
      <c r="X205" s="276">
        <f t="shared" si="20"/>
        <v>2430000</v>
      </c>
      <c r="Y205" s="340" t="s">
        <v>113483</v>
      </c>
      <c r="Z205" s="432">
        <v>3570000</v>
      </c>
      <c r="AA205" s="443">
        <f t="shared" si="19"/>
        <v>2430000</v>
      </c>
    </row>
    <row r="206" spans="2:27" ht="63" customHeight="1" x14ac:dyDescent="0.25">
      <c r="B206" s="124"/>
      <c r="C206" s="125"/>
      <c r="D206" s="125"/>
      <c r="E206" s="125"/>
      <c r="F206" s="125"/>
      <c r="G206" s="125"/>
      <c r="H206" s="125"/>
      <c r="I206" s="125"/>
      <c r="J206" s="126"/>
      <c r="K206" s="86" t="s">
        <v>107091</v>
      </c>
      <c r="L206" s="87" t="s">
        <v>113100</v>
      </c>
      <c r="M206" s="88" t="s">
        <v>113101</v>
      </c>
      <c r="N206" s="89">
        <v>45474</v>
      </c>
      <c r="O206" s="89" t="s">
        <v>112996</v>
      </c>
      <c r="P206" s="121" t="s">
        <v>113005</v>
      </c>
      <c r="Q206" s="89" t="s">
        <v>113050</v>
      </c>
      <c r="R206" s="94">
        <v>7000000</v>
      </c>
      <c r="S206" s="128"/>
      <c r="T206" s="93" t="s">
        <v>112999</v>
      </c>
      <c r="U206" s="275">
        <v>83824</v>
      </c>
      <c r="V206" s="276">
        <v>7000000</v>
      </c>
      <c r="W206" s="276">
        <f t="shared" si="18"/>
        <v>0</v>
      </c>
      <c r="X206" s="276">
        <f t="shared" si="20"/>
        <v>0</v>
      </c>
      <c r="Y206" s="340" t="s">
        <v>113521</v>
      </c>
      <c r="Z206" s="432">
        <v>7000000</v>
      </c>
      <c r="AA206" s="443">
        <f t="shared" si="19"/>
        <v>0</v>
      </c>
    </row>
    <row r="207" spans="2:27" ht="75" x14ac:dyDescent="0.25">
      <c r="B207" s="124"/>
      <c r="C207" s="125"/>
      <c r="D207" s="125"/>
      <c r="E207" s="125"/>
      <c r="F207" s="125"/>
      <c r="G207" s="125"/>
      <c r="H207" s="125"/>
      <c r="I207" s="125"/>
      <c r="J207" s="126"/>
      <c r="K207" s="126" t="s">
        <v>107091</v>
      </c>
      <c r="L207" s="87">
        <v>72154100</v>
      </c>
      <c r="M207" s="88" t="s">
        <v>113099</v>
      </c>
      <c r="N207" s="89">
        <v>45397</v>
      </c>
      <c r="O207" s="89" t="s">
        <v>113082</v>
      </c>
      <c r="P207" s="90" t="s">
        <v>113166</v>
      </c>
      <c r="Q207" s="90" t="s">
        <v>113066</v>
      </c>
      <c r="R207" s="91">
        <f>10956000-3652000</f>
        <v>7304000</v>
      </c>
      <c r="S207" s="261">
        <v>11640000</v>
      </c>
      <c r="T207" s="93" t="s">
        <v>112999</v>
      </c>
      <c r="U207" s="275">
        <v>27624</v>
      </c>
      <c r="V207" s="276">
        <f>10956000-3652000-674000</f>
        <v>6630000</v>
      </c>
      <c r="W207" s="276">
        <f t="shared" si="18"/>
        <v>674000</v>
      </c>
      <c r="X207" s="276">
        <f t="shared" si="20"/>
        <v>1830000</v>
      </c>
      <c r="Y207" s="340" t="s">
        <v>113399</v>
      </c>
      <c r="Z207" s="432">
        <v>4800000</v>
      </c>
      <c r="AA207" s="443">
        <f t="shared" si="19"/>
        <v>2504000</v>
      </c>
    </row>
    <row r="208" spans="2:27" ht="102" customHeight="1" x14ac:dyDescent="0.25">
      <c r="B208" s="84"/>
      <c r="C208" s="85"/>
      <c r="D208" s="85"/>
      <c r="E208" s="85"/>
      <c r="F208" s="85"/>
      <c r="G208" s="85"/>
      <c r="H208" s="85"/>
      <c r="I208" s="85"/>
      <c r="J208" s="86"/>
      <c r="K208" s="86"/>
      <c r="L208" s="87">
        <v>72154100</v>
      </c>
      <c r="M208" s="88" t="s">
        <v>113469</v>
      </c>
      <c r="N208" s="89">
        <v>45544</v>
      </c>
      <c r="O208" s="89" t="s">
        <v>113074</v>
      </c>
      <c r="P208" s="90" t="s">
        <v>113468</v>
      </c>
      <c r="Q208" s="90" t="s">
        <v>113066</v>
      </c>
      <c r="R208" s="91">
        <v>3652000</v>
      </c>
      <c r="S208" s="92"/>
      <c r="T208" s="93" t="s">
        <v>112999</v>
      </c>
      <c r="U208" s="275">
        <v>81624</v>
      </c>
      <c r="V208" s="276">
        <v>3652000</v>
      </c>
      <c r="W208" s="276">
        <f t="shared" si="18"/>
        <v>0</v>
      </c>
      <c r="X208" s="276">
        <f>V208-Z208</f>
        <v>3652000</v>
      </c>
      <c r="Y208" s="340"/>
      <c r="Z208" s="432"/>
      <c r="AA208" s="443">
        <f t="shared" si="19"/>
        <v>3652000</v>
      </c>
    </row>
    <row r="209" spans="2:27" ht="30" customHeight="1" x14ac:dyDescent="0.25">
      <c r="B209" s="124"/>
      <c r="C209" s="125"/>
      <c r="D209" s="125"/>
      <c r="E209" s="125"/>
      <c r="F209" s="125"/>
      <c r="G209" s="125"/>
      <c r="H209" s="125"/>
      <c r="I209" s="125"/>
      <c r="J209" s="126"/>
      <c r="K209" s="126" t="s">
        <v>107091</v>
      </c>
      <c r="L209" s="117"/>
      <c r="M209" s="113" t="s">
        <v>113103</v>
      </c>
      <c r="N209" s="114" t="s">
        <v>113029</v>
      </c>
      <c r="O209" s="114" t="s">
        <v>113029</v>
      </c>
      <c r="P209" s="114" t="s">
        <v>113029</v>
      </c>
      <c r="Q209" s="114" t="s">
        <v>113029</v>
      </c>
      <c r="R209" s="91">
        <v>12000000</v>
      </c>
      <c r="S209" s="94"/>
      <c r="T209" s="93" t="s">
        <v>113030</v>
      </c>
      <c r="U209" s="278" t="s">
        <v>113336</v>
      </c>
      <c r="V209" s="276">
        <f>9316739.32+1102377.14</f>
        <v>10419116.460000001</v>
      </c>
      <c r="W209" s="276">
        <f t="shared" si="18"/>
        <v>1580883.5399999991</v>
      </c>
      <c r="X209" s="276">
        <f t="shared" si="20"/>
        <v>0</v>
      </c>
      <c r="Y209" s="340" t="s">
        <v>113444</v>
      </c>
      <c r="Z209" s="433">
        <f>9316739.32+1102377.14</f>
        <v>10419116.460000001</v>
      </c>
      <c r="AA209" s="443">
        <f t="shared" si="19"/>
        <v>1580883.5399999991</v>
      </c>
    </row>
    <row r="210" spans="2:27"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76">
        <f>+V211+V215+V218+V222</f>
        <v>291115116</v>
      </c>
      <c r="W210" s="376">
        <f t="shared" si="18"/>
        <v>125170884</v>
      </c>
      <c r="X210" s="65">
        <f>+X211+X215+X218+X222</f>
        <v>75000000</v>
      </c>
      <c r="Y210" s="333"/>
      <c r="Z210" s="402">
        <f>+Z211+Z215+Z218+Z222</f>
        <v>216115116</v>
      </c>
      <c r="AA210" s="65">
        <f t="shared" si="19"/>
        <v>200170884</v>
      </c>
    </row>
    <row r="211" spans="2:27" ht="22.5" customHeight="1" x14ac:dyDescent="0.25">
      <c r="B211" s="306" t="s">
        <v>105516</v>
      </c>
      <c r="C211" s="306" t="s">
        <v>105573</v>
      </c>
      <c r="D211" s="306" t="s">
        <v>105573</v>
      </c>
      <c r="E211" s="306" t="s">
        <v>105573</v>
      </c>
      <c r="F211" s="306" t="s">
        <v>105556</v>
      </c>
      <c r="G211" s="306" t="s">
        <v>105535</v>
      </c>
      <c r="H211" s="68"/>
      <c r="I211" s="68"/>
      <c r="J211" s="68"/>
      <c r="K211" s="69"/>
      <c r="L211" s="69"/>
      <c r="M211" s="70" t="s">
        <v>107166</v>
      </c>
      <c r="N211" s="71"/>
      <c r="O211" s="71"/>
      <c r="P211" s="72"/>
      <c r="Q211" s="72"/>
      <c r="R211" s="73">
        <f>+R212</f>
        <v>90000000</v>
      </c>
      <c r="S211" s="74"/>
      <c r="T211" s="75"/>
      <c r="U211" s="71" t="s">
        <v>112994</v>
      </c>
      <c r="V211" s="377">
        <f>+V212</f>
        <v>69500000</v>
      </c>
      <c r="W211" s="377">
        <f t="shared" si="18"/>
        <v>20500000</v>
      </c>
      <c r="X211" s="73">
        <f>+X212</f>
        <v>25000000</v>
      </c>
      <c r="Y211" s="334"/>
      <c r="Z211" s="403">
        <f>+Z212</f>
        <v>44500000</v>
      </c>
      <c r="AA211" s="73">
        <f t="shared" si="19"/>
        <v>45500000</v>
      </c>
    </row>
    <row r="212" spans="2:27"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78">
        <f>SUM(V213+V214)</f>
        <v>69500000</v>
      </c>
      <c r="W212" s="378">
        <f t="shared" si="18"/>
        <v>20500000</v>
      </c>
      <c r="X212" s="81">
        <f>SUM(X213+X214)</f>
        <v>25000000</v>
      </c>
      <c r="Y212" s="335"/>
      <c r="Z212" s="404">
        <f>SUM(Z213+Z214)</f>
        <v>44500000</v>
      </c>
      <c r="AA212" s="81">
        <f t="shared" si="19"/>
        <v>45500000</v>
      </c>
    </row>
    <row r="213" spans="2:27" ht="30" x14ac:dyDescent="0.25">
      <c r="B213" s="84"/>
      <c r="C213" s="85"/>
      <c r="D213" s="85"/>
      <c r="E213" s="85"/>
      <c r="F213" s="85"/>
      <c r="G213" s="85"/>
      <c r="H213" s="85"/>
      <c r="I213" s="85"/>
      <c r="J213" s="86"/>
      <c r="K213" s="86" t="s">
        <v>107165</v>
      </c>
      <c r="L213" s="87" t="s">
        <v>113104</v>
      </c>
      <c r="M213" s="88" t="s">
        <v>113278</v>
      </c>
      <c r="N213" s="89">
        <v>45347</v>
      </c>
      <c r="O213" s="89" t="s">
        <v>113000</v>
      </c>
      <c r="P213" s="90" t="s">
        <v>113003</v>
      </c>
      <c r="Q213" s="90" t="s">
        <v>113051</v>
      </c>
      <c r="R213" s="91">
        <v>50000000</v>
      </c>
      <c r="S213" s="92"/>
      <c r="T213" s="93" t="s">
        <v>113010</v>
      </c>
      <c r="U213" s="275">
        <v>28924</v>
      </c>
      <c r="V213" s="276">
        <v>50000000</v>
      </c>
      <c r="W213" s="276">
        <f t="shared" si="18"/>
        <v>0</v>
      </c>
      <c r="X213" s="276">
        <f>V213-Z213</f>
        <v>25000000</v>
      </c>
      <c r="Y213" s="340" t="s">
        <v>113403</v>
      </c>
      <c r="Z213" s="432">
        <v>25000000</v>
      </c>
      <c r="AA213" s="443">
        <f t="shared" si="19"/>
        <v>25000000</v>
      </c>
    </row>
    <row r="214" spans="2:27" ht="30.75" x14ac:dyDescent="0.25">
      <c r="B214" s="84"/>
      <c r="C214" s="85"/>
      <c r="D214" s="85"/>
      <c r="E214" s="85"/>
      <c r="F214" s="85"/>
      <c r="G214" s="85"/>
      <c r="H214" s="85"/>
      <c r="I214" s="85"/>
      <c r="J214" s="86"/>
      <c r="K214" s="86" t="s">
        <v>107165</v>
      </c>
      <c r="L214" s="51"/>
      <c r="M214" s="88" t="s">
        <v>113105</v>
      </c>
      <c r="N214" s="89">
        <v>45321</v>
      </c>
      <c r="O214" s="90" t="s">
        <v>113029</v>
      </c>
      <c r="P214" s="90" t="s">
        <v>113029</v>
      </c>
      <c r="Q214" s="90" t="s">
        <v>113029</v>
      </c>
      <c r="R214" s="91">
        <f>20000000+20000000</f>
        <v>40000000</v>
      </c>
      <c r="S214" s="92"/>
      <c r="T214" s="93" t="s">
        <v>113010</v>
      </c>
      <c r="U214" s="278" t="s">
        <v>113344</v>
      </c>
      <c r="V214" s="276">
        <f>9750000+9750000</f>
        <v>19500000</v>
      </c>
      <c r="W214" s="276">
        <f t="shared" si="18"/>
        <v>20500000</v>
      </c>
      <c r="X214" s="276">
        <f>V214-Z214</f>
        <v>0</v>
      </c>
      <c r="Y214" s="337" t="s">
        <v>113404</v>
      </c>
      <c r="Z214" s="432">
        <v>19500000</v>
      </c>
      <c r="AA214" s="443">
        <f t="shared" si="19"/>
        <v>20500000</v>
      </c>
    </row>
    <row r="215" spans="2:27" ht="30" x14ac:dyDescent="0.25">
      <c r="B215" s="306" t="s">
        <v>105516</v>
      </c>
      <c r="C215" s="306" t="s">
        <v>105573</v>
      </c>
      <c r="D215" s="306" t="s">
        <v>105573</v>
      </c>
      <c r="E215" s="306" t="s">
        <v>105573</v>
      </c>
      <c r="F215" s="306" t="s">
        <v>105556</v>
      </c>
      <c r="G215" s="306" t="s">
        <v>105538</v>
      </c>
      <c r="H215" s="68"/>
      <c r="I215" s="68"/>
      <c r="J215" s="68"/>
      <c r="K215" s="69"/>
      <c r="L215" s="69"/>
      <c r="M215" s="70" t="s">
        <v>107180</v>
      </c>
      <c r="N215" s="71"/>
      <c r="O215" s="71"/>
      <c r="P215" s="72"/>
      <c r="Q215" s="72"/>
      <c r="R215" s="73">
        <f>+R216</f>
        <v>25286000</v>
      </c>
      <c r="S215" s="74"/>
      <c r="T215" s="75"/>
      <c r="U215" s="71" t="s">
        <v>112994</v>
      </c>
      <c r="V215" s="377">
        <f t="shared" ref="V215:X216" si="21">+V216</f>
        <v>25286000</v>
      </c>
      <c r="W215" s="377">
        <f t="shared" si="18"/>
        <v>0</v>
      </c>
      <c r="X215" s="73">
        <f t="shared" si="21"/>
        <v>0</v>
      </c>
      <c r="Y215" s="334"/>
      <c r="Z215" s="403">
        <f>+Z216</f>
        <v>25286000</v>
      </c>
      <c r="AA215" s="73">
        <f t="shared" si="19"/>
        <v>0</v>
      </c>
    </row>
    <row r="216" spans="2:27"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78">
        <f t="shared" si="21"/>
        <v>25286000</v>
      </c>
      <c r="W216" s="378">
        <f t="shared" si="18"/>
        <v>0</v>
      </c>
      <c r="X216" s="81">
        <f t="shared" si="21"/>
        <v>0</v>
      </c>
      <c r="Y216" s="335"/>
      <c r="Z216" s="404">
        <f>+Z217</f>
        <v>25286000</v>
      </c>
      <c r="AA216" s="81">
        <f t="shared" si="19"/>
        <v>0</v>
      </c>
    </row>
    <row r="217" spans="2:27" ht="44.25" customHeight="1" x14ac:dyDescent="0.25">
      <c r="B217" s="84"/>
      <c r="C217" s="85"/>
      <c r="D217" s="85"/>
      <c r="E217" s="85"/>
      <c r="F217" s="85"/>
      <c r="G217" s="85"/>
      <c r="H217" s="85"/>
      <c r="I217" s="85"/>
      <c r="J217" s="86"/>
      <c r="K217" s="86" t="s">
        <v>107179</v>
      </c>
      <c r="L217" s="87" t="s">
        <v>113206</v>
      </c>
      <c r="M217" s="88" t="s">
        <v>113106</v>
      </c>
      <c r="N217" s="89">
        <v>45337</v>
      </c>
      <c r="O217" s="89" t="s">
        <v>113035</v>
      </c>
      <c r="P217" s="90" t="s">
        <v>113003</v>
      </c>
      <c r="Q217" s="121" t="s">
        <v>113102</v>
      </c>
      <c r="R217" s="91">
        <f>35000000-9714000</f>
        <v>25286000</v>
      </c>
      <c r="S217" s="92"/>
      <c r="T217" s="93" t="s">
        <v>113017</v>
      </c>
      <c r="U217" s="275">
        <v>9024</v>
      </c>
      <c r="V217" s="276">
        <f>35000000-9714000</f>
        <v>25286000</v>
      </c>
      <c r="W217" s="276">
        <f t="shared" si="18"/>
        <v>0</v>
      </c>
      <c r="X217" s="276">
        <f>V217-Z217</f>
        <v>0</v>
      </c>
      <c r="Y217" s="340" t="s">
        <v>113405</v>
      </c>
      <c r="Z217" s="432">
        <v>25286000</v>
      </c>
      <c r="AA217" s="443">
        <f t="shared" si="19"/>
        <v>0</v>
      </c>
    </row>
    <row r="218" spans="2:27" ht="45" x14ac:dyDescent="0.25">
      <c r="B218" s="306" t="s">
        <v>105516</v>
      </c>
      <c r="C218" s="306" t="s">
        <v>105573</v>
      </c>
      <c r="D218" s="306" t="s">
        <v>105573</v>
      </c>
      <c r="E218" s="306" t="s">
        <v>105573</v>
      </c>
      <c r="F218" s="306" t="s">
        <v>105556</v>
      </c>
      <c r="G218" s="306" t="s">
        <v>105541</v>
      </c>
      <c r="H218" s="68"/>
      <c r="I218" s="68"/>
      <c r="J218" s="68"/>
      <c r="K218" s="69"/>
      <c r="L218" s="69"/>
      <c r="M218" s="70" t="s">
        <v>107192</v>
      </c>
      <c r="N218" s="71"/>
      <c r="O218" s="71"/>
      <c r="P218" s="72"/>
      <c r="Q218" s="72"/>
      <c r="R218" s="73">
        <f>+R219</f>
        <v>251000000</v>
      </c>
      <c r="S218" s="74"/>
      <c r="T218" s="75"/>
      <c r="U218" s="71" t="s">
        <v>112994</v>
      </c>
      <c r="V218" s="377">
        <f>+V219</f>
        <v>146329116</v>
      </c>
      <c r="W218" s="377">
        <f t="shared" si="18"/>
        <v>104670884</v>
      </c>
      <c r="X218" s="73">
        <f>+X219</f>
        <v>0</v>
      </c>
      <c r="Y218" s="334"/>
      <c r="Z218" s="403">
        <f>+Z219</f>
        <v>146329116</v>
      </c>
      <c r="AA218" s="73">
        <f t="shared" si="19"/>
        <v>104670884</v>
      </c>
    </row>
    <row r="219" spans="2:27"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79">
        <f>SUM(V220+V221)</f>
        <v>146329116</v>
      </c>
      <c r="W219" s="379">
        <f t="shared" si="18"/>
        <v>104670884</v>
      </c>
      <c r="X219" s="106">
        <f>SUM(X220+X221)</f>
        <v>0</v>
      </c>
      <c r="Y219" s="335"/>
      <c r="Z219" s="405">
        <f>SUM(Z220+Z221)</f>
        <v>146329116</v>
      </c>
      <c r="AA219" s="106">
        <f t="shared" si="19"/>
        <v>104670884</v>
      </c>
    </row>
    <row r="220" spans="2:27" x14ac:dyDescent="0.25">
      <c r="B220" s="84"/>
      <c r="C220" s="85"/>
      <c r="D220" s="85"/>
      <c r="E220" s="85"/>
      <c r="F220" s="85"/>
      <c r="G220" s="85"/>
      <c r="H220" s="85"/>
      <c r="I220" s="85"/>
      <c r="J220" s="86"/>
      <c r="K220" s="86" t="s">
        <v>107191</v>
      </c>
      <c r="L220" s="87"/>
      <c r="M220" s="97" t="s">
        <v>113109</v>
      </c>
      <c r="N220" s="89">
        <v>45293</v>
      </c>
      <c r="O220" s="89" t="s">
        <v>113057</v>
      </c>
      <c r="P220" s="90" t="s">
        <v>113065</v>
      </c>
      <c r="Q220" s="90"/>
      <c r="R220" s="91">
        <v>231000000</v>
      </c>
      <c r="S220" s="119"/>
      <c r="T220" s="88" t="s">
        <v>113061</v>
      </c>
      <c r="U220" s="275">
        <v>1624</v>
      </c>
      <c r="V220" s="360">
        <v>126329116</v>
      </c>
      <c r="W220" s="360">
        <f t="shared" si="18"/>
        <v>104670884</v>
      </c>
      <c r="X220" s="276">
        <f>V220-Z220</f>
        <v>0</v>
      </c>
      <c r="Y220" s="340" t="s">
        <v>113351</v>
      </c>
      <c r="Z220" s="360">
        <v>126329116</v>
      </c>
      <c r="AA220" s="443">
        <f t="shared" si="19"/>
        <v>104670884</v>
      </c>
    </row>
    <row r="221" spans="2:27" ht="45" x14ac:dyDescent="0.25">
      <c r="B221" s="84"/>
      <c r="C221" s="85"/>
      <c r="D221" s="85"/>
      <c r="E221" s="85"/>
      <c r="F221" s="85"/>
      <c r="G221" s="85"/>
      <c r="H221" s="85"/>
      <c r="I221" s="85"/>
      <c r="J221" s="86"/>
      <c r="K221" s="86" t="s">
        <v>107191</v>
      </c>
      <c r="L221" s="87" t="s">
        <v>113107</v>
      </c>
      <c r="M221" s="97" t="s">
        <v>113108</v>
      </c>
      <c r="N221" s="89">
        <v>45350</v>
      </c>
      <c r="O221" s="89" t="s">
        <v>113035</v>
      </c>
      <c r="P221" s="121" t="s">
        <v>113003</v>
      </c>
      <c r="Q221" s="90" t="s">
        <v>113050</v>
      </c>
      <c r="R221" s="91">
        <v>20000000</v>
      </c>
      <c r="S221" s="119"/>
      <c r="T221" s="88" t="s">
        <v>112999</v>
      </c>
      <c r="U221" s="275">
        <v>32624</v>
      </c>
      <c r="V221" s="276">
        <v>20000000</v>
      </c>
      <c r="W221" s="276">
        <f t="shared" si="18"/>
        <v>0</v>
      </c>
      <c r="X221" s="276">
        <f>V221-Z221</f>
        <v>0</v>
      </c>
      <c r="Y221" s="340" t="s">
        <v>113406</v>
      </c>
      <c r="Z221" s="432">
        <v>20000000</v>
      </c>
      <c r="AA221" s="443">
        <f t="shared" si="19"/>
        <v>0</v>
      </c>
    </row>
    <row r="222" spans="2:27" x14ac:dyDescent="0.25">
      <c r="B222" s="306" t="s">
        <v>105516</v>
      </c>
      <c r="C222" s="306" t="s">
        <v>105573</v>
      </c>
      <c r="D222" s="306" t="s">
        <v>105573</v>
      </c>
      <c r="E222" s="306" t="s">
        <v>105573</v>
      </c>
      <c r="F222" s="306" t="s">
        <v>105556</v>
      </c>
      <c r="G222" s="306" t="s">
        <v>105547</v>
      </c>
      <c r="H222" s="68"/>
      <c r="I222" s="68"/>
      <c r="J222" s="68"/>
      <c r="K222" s="69"/>
      <c r="L222" s="69"/>
      <c r="M222" s="70" t="s">
        <v>113310</v>
      </c>
      <c r="N222" s="71"/>
      <c r="O222" s="71"/>
      <c r="P222" s="72"/>
      <c r="Q222" s="72"/>
      <c r="R222" s="73">
        <f>+R223</f>
        <v>50000000</v>
      </c>
      <c r="S222" s="74"/>
      <c r="T222" s="75"/>
      <c r="U222" s="71" t="s">
        <v>112994</v>
      </c>
      <c r="V222" s="377">
        <f t="shared" ref="V222:X223" si="22">+V223</f>
        <v>50000000</v>
      </c>
      <c r="W222" s="377">
        <f t="shared" si="18"/>
        <v>0</v>
      </c>
      <c r="X222" s="73">
        <f t="shared" si="22"/>
        <v>50000000</v>
      </c>
      <c r="Y222" s="334"/>
      <c r="Z222" s="403">
        <f>+Z223</f>
        <v>0</v>
      </c>
      <c r="AA222" s="73">
        <f t="shared" si="19"/>
        <v>50000000</v>
      </c>
    </row>
    <row r="223" spans="2:27"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78">
        <f t="shared" si="22"/>
        <v>50000000</v>
      </c>
      <c r="W223" s="378">
        <f t="shared" si="18"/>
        <v>0</v>
      </c>
      <c r="X223" s="81">
        <f t="shared" si="22"/>
        <v>50000000</v>
      </c>
      <c r="Y223" s="335"/>
      <c r="Z223" s="404">
        <f>+Z224</f>
        <v>0</v>
      </c>
      <c r="AA223" s="81">
        <f t="shared" si="19"/>
        <v>50000000</v>
      </c>
    </row>
    <row r="224" spans="2:27" ht="75" x14ac:dyDescent="0.25">
      <c r="B224" s="84"/>
      <c r="C224" s="85"/>
      <c r="D224" s="85"/>
      <c r="E224" s="85"/>
      <c r="F224" s="85"/>
      <c r="G224" s="85"/>
      <c r="H224" s="85"/>
      <c r="I224" s="85"/>
      <c r="J224" s="86"/>
      <c r="K224" s="86" t="s">
        <v>107213</v>
      </c>
      <c r="L224" s="51">
        <v>93141500</v>
      </c>
      <c r="M224" s="88" t="s">
        <v>113508</v>
      </c>
      <c r="N224" s="89">
        <v>45580</v>
      </c>
      <c r="O224" s="89" t="s">
        <v>113067</v>
      </c>
      <c r="P224" s="90" t="s">
        <v>113043</v>
      </c>
      <c r="Q224" s="90" t="s">
        <v>113088</v>
      </c>
      <c r="R224" s="94">
        <v>50000000</v>
      </c>
      <c r="S224" s="92"/>
      <c r="T224" s="93" t="s">
        <v>113010</v>
      </c>
      <c r="U224" s="275">
        <v>58224</v>
      </c>
      <c r="V224" s="276">
        <v>50000000</v>
      </c>
      <c r="W224" s="276">
        <f t="shared" si="18"/>
        <v>0</v>
      </c>
      <c r="X224" s="276">
        <f>V224-Z224</f>
        <v>50000000</v>
      </c>
      <c r="Y224" s="340"/>
      <c r="Z224" s="432"/>
      <c r="AA224" s="443">
        <f t="shared" si="19"/>
        <v>50000000</v>
      </c>
    </row>
    <row r="225" spans="2:27" x14ac:dyDescent="0.25">
      <c r="B225" s="306" t="s">
        <v>105516</v>
      </c>
      <c r="C225" s="306" t="s">
        <v>105573</v>
      </c>
      <c r="D225" s="306" t="s">
        <v>105573</v>
      </c>
      <c r="E225" s="306" t="s">
        <v>105573</v>
      </c>
      <c r="F225" s="306" t="s">
        <v>105559</v>
      </c>
      <c r="G225" s="68"/>
      <c r="H225" s="68"/>
      <c r="I225" s="68"/>
      <c r="J225" s="68"/>
      <c r="K225" s="69"/>
      <c r="L225" s="69"/>
      <c r="M225" s="70" t="s">
        <v>105564</v>
      </c>
      <c r="N225" s="71"/>
      <c r="O225" s="71"/>
      <c r="P225" s="72"/>
      <c r="Q225" s="72"/>
      <c r="R225" s="73">
        <f>+R226</f>
        <v>69000000</v>
      </c>
      <c r="S225" s="74"/>
      <c r="T225" s="75"/>
      <c r="U225" s="71" t="s">
        <v>112994</v>
      </c>
      <c r="V225" s="377">
        <f>+V226</f>
        <v>69000000</v>
      </c>
      <c r="W225" s="377">
        <f t="shared" si="18"/>
        <v>0</v>
      </c>
      <c r="X225" s="73">
        <f>+X226</f>
        <v>21100374</v>
      </c>
      <c r="Y225" s="334"/>
      <c r="Z225" s="403">
        <f>+Z226</f>
        <v>47899626</v>
      </c>
      <c r="AA225" s="73">
        <f t="shared" si="19"/>
        <v>21100374</v>
      </c>
    </row>
    <row r="226" spans="2:27"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75">
        <v>9124</v>
      </c>
      <c r="V226" s="276">
        <f>50000000+19000000</f>
        <v>69000000</v>
      </c>
      <c r="W226" s="276">
        <f t="shared" si="18"/>
        <v>0</v>
      </c>
      <c r="X226" s="276">
        <f>V226-Z226</f>
        <v>21100374</v>
      </c>
      <c r="Y226" s="340"/>
      <c r="Z226" s="432">
        <f>43221418+4678208</f>
        <v>47899626</v>
      </c>
      <c r="AA226" s="443">
        <f t="shared" si="19"/>
        <v>21100374</v>
      </c>
    </row>
    <row r="227" spans="2:27"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4"/>
      <c r="T227" s="134"/>
      <c r="U227" s="134"/>
      <c r="V227" s="381">
        <f>+V228</f>
        <v>12812976737.236668</v>
      </c>
      <c r="W227" s="381">
        <f t="shared" si="18"/>
        <v>283023262.76333237</v>
      </c>
      <c r="X227" s="134">
        <f>+X228</f>
        <v>2094800523.8766668</v>
      </c>
      <c r="Y227" s="134"/>
      <c r="Z227" s="406">
        <f>+Z228</f>
        <v>10718176213.359999</v>
      </c>
      <c r="AA227" s="134">
        <f t="shared" si="19"/>
        <v>2377823786.6400013</v>
      </c>
    </row>
    <row r="228" spans="2:27" x14ac:dyDescent="0.25">
      <c r="B228" s="135" t="s">
        <v>105516</v>
      </c>
      <c r="C228" s="135" t="s">
        <v>105924</v>
      </c>
      <c r="D228" s="135" t="s">
        <v>105520</v>
      </c>
      <c r="E228" s="135"/>
      <c r="F228" s="135"/>
      <c r="G228" s="135"/>
      <c r="H228" s="135"/>
      <c r="I228" s="135"/>
      <c r="J228" s="135"/>
      <c r="K228" s="136"/>
      <c r="L228" s="137"/>
      <c r="M228" s="138" t="s">
        <v>112080</v>
      </c>
      <c r="N228" s="139"/>
      <c r="O228" s="139"/>
      <c r="P228" s="140"/>
      <c r="Q228" s="140"/>
      <c r="R228" s="141">
        <f>+R229+R256</f>
        <v>13096000000</v>
      </c>
      <c r="S228" s="141"/>
      <c r="T228" s="141"/>
      <c r="U228" s="141"/>
      <c r="V228" s="382">
        <f>+V229+V256</f>
        <v>12812976737.236668</v>
      </c>
      <c r="W228" s="382">
        <f t="shared" si="18"/>
        <v>283023262.76333237</v>
      </c>
      <c r="X228" s="141">
        <f>+X229+X256</f>
        <v>2094800523.8766668</v>
      </c>
      <c r="Y228" s="141"/>
      <c r="Z228" s="407">
        <f>+Z229+Z256</f>
        <v>10718176213.359999</v>
      </c>
      <c r="AA228" s="141">
        <f t="shared" si="19"/>
        <v>2377823786.6400013</v>
      </c>
    </row>
    <row r="229" spans="2:27" x14ac:dyDescent="0.25">
      <c r="B229" s="142" t="s">
        <v>105516</v>
      </c>
      <c r="C229" s="142" t="s">
        <v>105924</v>
      </c>
      <c r="D229" s="142" t="s">
        <v>105520</v>
      </c>
      <c r="E229" s="142" t="s">
        <v>105520</v>
      </c>
      <c r="F229" s="142"/>
      <c r="G229" s="142"/>
      <c r="H229" s="142"/>
      <c r="I229" s="142"/>
      <c r="J229" s="142"/>
      <c r="K229" s="143"/>
      <c r="L229" s="143"/>
      <c r="M229" s="144" t="s">
        <v>106437</v>
      </c>
      <c r="N229" s="145"/>
      <c r="O229" s="145"/>
      <c r="P229" s="146"/>
      <c r="Q229" s="146"/>
      <c r="R229" s="147">
        <f>+R230+R250</f>
        <v>992760000</v>
      </c>
      <c r="S229" s="147"/>
      <c r="T229" s="147"/>
      <c r="U229" s="147"/>
      <c r="V229" s="383">
        <f>+V230+V250</f>
        <v>948483596.30999994</v>
      </c>
      <c r="W229" s="383">
        <f t="shared" si="18"/>
        <v>44276403.690000057</v>
      </c>
      <c r="X229" s="147">
        <f>+X230+X250</f>
        <v>318221520</v>
      </c>
      <c r="Y229" s="147"/>
      <c r="Z229" s="408">
        <f>+Z230+Z250</f>
        <v>630262076.30999994</v>
      </c>
      <c r="AA229" s="147">
        <f t="shared" si="19"/>
        <v>362497923.69000006</v>
      </c>
    </row>
    <row r="230" spans="2:27"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76">
        <f>+V231+V234+V237+V241+V247</f>
        <v>695644936.50999999</v>
      </c>
      <c r="W230" s="376">
        <f t="shared" si="18"/>
        <v>11516403.690000057</v>
      </c>
      <c r="X230" s="65">
        <f>+X231+X234+X237+X241+X247</f>
        <v>65382860.200000003</v>
      </c>
      <c r="Y230" s="333"/>
      <c r="Z230" s="402">
        <f>+Z231+Z234+Z237+Z241+Z247</f>
        <v>630262076.30999994</v>
      </c>
      <c r="AA230" s="65">
        <f t="shared" si="19"/>
        <v>76899263.890000105</v>
      </c>
    </row>
    <row r="231" spans="2:27" ht="30" x14ac:dyDescent="0.25">
      <c r="B231" s="306" t="s">
        <v>105516</v>
      </c>
      <c r="C231" s="306" t="s">
        <v>105924</v>
      </c>
      <c r="D231" s="306" t="s">
        <v>105520</v>
      </c>
      <c r="E231" s="306" t="s">
        <v>105520</v>
      </c>
      <c r="F231" s="306" t="s">
        <v>105538</v>
      </c>
      <c r="G231" s="306" t="s">
        <v>105535</v>
      </c>
      <c r="H231" s="148"/>
      <c r="I231" s="148"/>
      <c r="J231" s="148"/>
      <c r="K231" s="149"/>
      <c r="L231" s="149"/>
      <c r="M231" s="150" t="s">
        <v>113306</v>
      </c>
      <c r="N231" s="151"/>
      <c r="O231" s="151"/>
      <c r="P231" s="152"/>
      <c r="Q231" s="152"/>
      <c r="R231" s="153">
        <f>+R232</f>
        <v>25000000</v>
      </c>
      <c r="S231" s="153"/>
      <c r="T231" s="153"/>
      <c r="U231" s="153"/>
      <c r="V231" s="384">
        <f>+V232</f>
        <v>25000000</v>
      </c>
      <c r="W231" s="384">
        <f t="shared" si="18"/>
        <v>0</v>
      </c>
      <c r="X231" s="153">
        <f>+X232</f>
        <v>0</v>
      </c>
      <c r="Y231" s="153"/>
      <c r="Z231" s="409">
        <f>+Z232</f>
        <v>25000000</v>
      </c>
      <c r="AA231" s="153">
        <f t="shared" si="19"/>
        <v>0</v>
      </c>
    </row>
    <row r="232" spans="2:27"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78">
        <f>+V233</f>
        <v>25000000</v>
      </c>
      <c r="W232" s="378">
        <f t="shared" si="18"/>
        <v>0</v>
      </c>
      <c r="X232" s="81">
        <f>+X233</f>
        <v>0</v>
      </c>
      <c r="Y232" s="335"/>
      <c r="Z232" s="404">
        <f>+Z233</f>
        <v>25000000</v>
      </c>
      <c r="AA232" s="81">
        <f t="shared" si="19"/>
        <v>0</v>
      </c>
    </row>
    <row r="233" spans="2:27"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75">
        <v>30224</v>
      </c>
      <c r="V233" s="276">
        <v>25000000</v>
      </c>
      <c r="W233" s="276">
        <f t="shared" si="18"/>
        <v>0</v>
      </c>
      <c r="X233" s="276">
        <f>V233-Z233</f>
        <v>0</v>
      </c>
      <c r="Y233" s="340" t="s">
        <v>113355</v>
      </c>
      <c r="Z233" s="432">
        <v>25000000</v>
      </c>
      <c r="AA233" s="443">
        <f t="shared" si="19"/>
        <v>0</v>
      </c>
    </row>
    <row r="234" spans="2:27" ht="30" x14ac:dyDescent="0.25">
      <c r="B234" s="306" t="s">
        <v>105516</v>
      </c>
      <c r="C234" s="306" t="s">
        <v>105924</v>
      </c>
      <c r="D234" s="306" t="s">
        <v>105520</v>
      </c>
      <c r="E234" s="306" t="s">
        <v>105520</v>
      </c>
      <c r="F234" s="306" t="s">
        <v>105538</v>
      </c>
      <c r="G234" s="306" t="s">
        <v>105538</v>
      </c>
      <c r="H234" s="148"/>
      <c r="I234" s="148"/>
      <c r="J234" s="148"/>
      <c r="K234" s="149"/>
      <c r="L234" s="149"/>
      <c r="M234" s="150" t="s">
        <v>106611</v>
      </c>
      <c r="N234" s="151"/>
      <c r="O234" s="151"/>
      <c r="P234" s="152"/>
      <c r="Q234" s="152"/>
      <c r="R234" s="153">
        <f>+R235</f>
        <v>150000000</v>
      </c>
      <c r="S234" s="153"/>
      <c r="T234" s="153"/>
      <c r="U234" s="153"/>
      <c r="V234" s="384">
        <f>+V235</f>
        <v>150000000</v>
      </c>
      <c r="W234" s="384">
        <f t="shared" si="18"/>
        <v>0</v>
      </c>
      <c r="X234" s="153">
        <f>+X235</f>
        <v>3150000</v>
      </c>
      <c r="Y234" s="153"/>
      <c r="Z234" s="409">
        <f>+Z235</f>
        <v>146850000</v>
      </c>
      <c r="AA234" s="153">
        <f t="shared" si="19"/>
        <v>3150000</v>
      </c>
    </row>
    <row r="235" spans="2:27"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78">
        <f>+V236</f>
        <v>150000000</v>
      </c>
      <c r="W235" s="378">
        <f t="shared" si="18"/>
        <v>0</v>
      </c>
      <c r="X235" s="81">
        <f>+X236</f>
        <v>3150000</v>
      </c>
      <c r="Y235" s="335"/>
      <c r="Z235" s="404">
        <f>+Z236</f>
        <v>146850000</v>
      </c>
      <c r="AA235" s="81">
        <f t="shared" si="19"/>
        <v>3150000</v>
      </c>
    </row>
    <row r="236" spans="2:27" ht="60" x14ac:dyDescent="0.25">
      <c r="B236" s="84"/>
      <c r="C236" s="85"/>
      <c r="D236" s="85"/>
      <c r="E236" s="85"/>
      <c r="F236" s="85"/>
      <c r="G236" s="85"/>
      <c r="H236" s="85"/>
      <c r="I236" s="85"/>
      <c r="J236" s="85"/>
      <c r="K236" s="86" t="s">
        <v>112186</v>
      </c>
      <c r="L236" s="154">
        <v>15101500</v>
      </c>
      <c r="M236" s="97" t="s">
        <v>113110</v>
      </c>
      <c r="N236" s="89">
        <v>45324</v>
      </c>
      <c r="O236" s="89" t="s">
        <v>113000</v>
      </c>
      <c r="P236" s="90" t="s">
        <v>113003</v>
      </c>
      <c r="Q236" s="90" t="s">
        <v>113036</v>
      </c>
      <c r="R236" s="91">
        <v>150000000</v>
      </c>
      <c r="S236" s="119"/>
      <c r="T236" s="93" t="s">
        <v>112999</v>
      </c>
      <c r="U236" s="275">
        <v>32724</v>
      </c>
      <c r="V236" s="276">
        <v>150000000</v>
      </c>
      <c r="W236" s="276">
        <f t="shared" si="18"/>
        <v>0</v>
      </c>
      <c r="X236" s="276">
        <f>V236-Z236</f>
        <v>3150000</v>
      </c>
      <c r="Y236" s="340" t="s">
        <v>113407</v>
      </c>
      <c r="Z236" s="432">
        <v>146850000</v>
      </c>
      <c r="AA236" s="443">
        <f t="shared" si="19"/>
        <v>3150000</v>
      </c>
    </row>
    <row r="237" spans="2:27" ht="34.5" customHeight="1" x14ac:dyDescent="0.25">
      <c r="B237" s="306" t="s">
        <v>105516</v>
      </c>
      <c r="C237" s="306" t="s">
        <v>105924</v>
      </c>
      <c r="D237" s="306" t="s">
        <v>105520</v>
      </c>
      <c r="E237" s="306" t="s">
        <v>105520</v>
      </c>
      <c r="F237" s="306" t="s">
        <v>105538</v>
      </c>
      <c r="G237" s="309" t="s">
        <v>105544</v>
      </c>
      <c r="H237" s="148"/>
      <c r="I237" s="148"/>
      <c r="J237" s="148"/>
      <c r="K237" s="149"/>
      <c r="L237" s="149"/>
      <c r="M237" s="150" t="s">
        <v>106645</v>
      </c>
      <c r="N237" s="151"/>
      <c r="O237" s="151"/>
      <c r="P237" s="152"/>
      <c r="Q237" s="152"/>
      <c r="R237" s="153">
        <f>+R238</f>
        <v>45000000</v>
      </c>
      <c r="S237" s="153"/>
      <c r="T237" s="153"/>
      <c r="U237" s="153"/>
      <c r="V237" s="384">
        <f>+V238</f>
        <v>33483596.310000002</v>
      </c>
      <c r="W237" s="384">
        <f t="shared" si="18"/>
        <v>11516403.689999998</v>
      </c>
      <c r="X237" s="153">
        <f>+X238</f>
        <v>0</v>
      </c>
      <c r="Y237" s="153"/>
      <c r="Z237" s="409">
        <f>+Z238</f>
        <v>33483596.310000002</v>
      </c>
      <c r="AA237" s="153">
        <f t="shared" si="19"/>
        <v>11516403.689999998</v>
      </c>
    </row>
    <row r="238" spans="2:27" x14ac:dyDescent="0.25">
      <c r="B238" s="76" t="s">
        <v>105516</v>
      </c>
      <c r="C238" s="76" t="s">
        <v>105924</v>
      </c>
      <c r="D238" s="76" t="s">
        <v>105520</v>
      </c>
      <c r="E238" s="76" t="s">
        <v>105520</v>
      </c>
      <c r="F238" s="76" t="s">
        <v>105538</v>
      </c>
      <c r="G238" s="76" t="s">
        <v>105544</v>
      </c>
      <c r="H238" s="155" t="s">
        <v>105573</v>
      </c>
      <c r="I238" s="76"/>
      <c r="J238" s="76"/>
      <c r="K238" s="76"/>
      <c r="L238" s="76"/>
      <c r="M238" s="103" t="s">
        <v>106649</v>
      </c>
      <c r="N238" s="79"/>
      <c r="O238" s="79"/>
      <c r="P238" s="80"/>
      <c r="Q238" s="80"/>
      <c r="R238" s="81">
        <f>SUM(R239:R240)</f>
        <v>45000000</v>
      </c>
      <c r="S238" s="82"/>
      <c r="T238" s="96"/>
      <c r="U238" s="79"/>
      <c r="V238" s="378">
        <f>SUM(V239:V240)</f>
        <v>33483596.310000002</v>
      </c>
      <c r="W238" s="378">
        <f t="shared" si="18"/>
        <v>11516403.689999998</v>
      </c>
      <c r="X238" s="81">
        <f>SUM(X239:X240)</f>
        <v>0</v>
      </c>
      <c r="Y238" s="335"/>
      <c r="Z238" s="404">
        <f>SUM(Z239:Z240)</f>
        <v>33483596.310000002</v>
      </c>
      <c r="AA238" s="81">
        <f t="shared" si="19"/>
        <v>11516403.689999998</v>
      </c>
    </row>
    <row r="239" spans="2:27" ht="43.5" customHeight="1" x14ac:dyDescent="0.25">
      <c r="B239" s="124"/>
      <c r="C239" s="125"/>
      <c r="D239" s="125"/>
      <c r="E239" s="125"/>
      <c r="F239" s="125"/>
      <c r="G239" s="125"/>
      <c r="H239" s="125"/>
      <c r="I239" s="125"/>
      <c r="J239" s="126"/>
      <c r="K239" s="86" t="s">
        <v>112204</v>
      </c>
      <c r="L239" s="87" t="s">
        <v>113207</v>
      </c>
      <c r="M239" s="97" t="s">
        <v>113111</v>
      </c>
      <c r="N239" s="89">
        <v>45427</v>
      </c>
      <c r="O239" s="89" t="s">
        <v>113082</v>
      </c>
      <c r="P239" s="90" t="s">
        <v>113133</v>
      </c>
      <c r="Q239" s="90" t="s">
        <v>113036</v>
      </c>
      <c r="R239" s="91">
        <v>20000000</v>
      </c>
      <c r="S239" s="92"/>
      <c r="T239" s="93" t="s">
        <v>113017</v>
      </c>
      <c r="U239" s="275">
        <v>42024</v>
      </c>
      <c r="V239" s="276">
        <f>20000000-11516403.69</f>
        <v>8483596.3100000005</v>
      </c>
      <c r="W239" s="276">
        <f t="shared" si="18"/>
        <v>11516403.689999999</v>
      </c>
      <c r="X239" s="276">
        <f>V239-Z239</f>
        <v>0</v>
      </c>
      <c r="Y239" s="340" t="s">
        <v>113451</v>
      </c>
      <c r="Z239" s="432">
        <v>8483596.3100000005</v>
      </c>
      <c r="AA239" s="443">
        <f t="shared" si="19"/>
        <v>11516403.689999999</v>
      </c>
    </row>
    <row r="240" spans="2:27"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113272</v>
      </c>
      <c r="R240" s="91">
        <v>25000000</v>
      </c>
      <c r="S240" s="92"/>
      <c r="T240" s="93" t="s">
        <v>113027</v>
      </c>
      <c r="U240" s="275">
        <v>30224</v>
      </c>
      <c r="V240" s="276">
        <v>25000000</v>
      </c>
      <c r="W240" s="276">
        <f t="shared" si="18"/>
        <v>0</v>
      </c>
      <c r="X240" s="276">
        <f>V240-Z240</f>
        <v>0</v>
      </c>
      <c r="Y240" s="340" t="s">
        <v>113355</v>
      </c>
      <c r="Z240" s="432">
        <v>25000000</v>
      </c>
      <c r="AA240" s="443">
        <f t="shared" si="19"/>
        <v>0</v>
      </c>
    </row>
    <row r="241" spans="1:28" x14ac:dyDescent="0.25">
      <c r="B241" s="306" t="s">
        <v>105516</v>
      </c>
      <c r="C241" s="306" t="s">
        <v>105924</v>
      </c>
      <c r="D241" s="306" t="s">
        <v>105520</v>
      </c>
      <c r="E241" s="306" t="s">
        <v>105520</v>
      </c>
      <c r="F241" s="306" t="s">
        <v>105538</v>
      </c>
      <c r="G241" s="309" t="s">
        <v>105547</v>
      </c>
      <c r="H241" s="148"/>
      <c r="I241" s="148"/>
      <c r="J241" s="148"/>
      <c r="K241" s="149"/>
      <c r="L241" s="149"/>
      <c r="M241" s="150" t="s">
        <v>106657</v>
      </c>
      <c r="N241" s="151"/>
      <c r="O241" s="151"/>
      <c r="P241" s="152"/>
      <c r="Q241" s="152"/>
      <c r="R241" s="153">
        <f>+R242+R245</f>
        <v>287161340.19999999</v>
      </c>
      <c r="S241" s="153"/>
      <c r="T241" s="153"/>
      <c r="U241" s="153"/>
      <c r="V241" s="384">
        <f>+V242+V245</f>
        <v>287161340.19999999</v>
      </c>
      <c r="W241" s="384">
        <f t="shared" si="18"/>
        <v>0</v>
      </c>
      <c r="X241" s="153">
        <f>+X242+X245</f>
        <v>62232860.200000003</v>
      </c>
      <c r="Y241" s="153"/>
      <c r="Z241" s="409">
        <f>+Z242+Z245</f>
        <v>224928480</v>
      </c>
      <c r="AA241" s="153">
        <f t="shared" si="19"/>
        <v>62232860.199999988</v>
      </c>
    </row>
    <row r="242" spans="1:28" x14ac:dyDescent="0.25">
      <c r="B242" s="76" t="s">
        <v>105516</v>
      </c>
      <c r="C242" s="76" t="s">
        <v>105924</v>
      </c>
      <c r="D242" s="76" t="s">
        <v>105520</v>
      </c>
      <c r="E242" s="76" t="s">
        <v>105520</v>
      </c>
      <c r="F242" s="76" t="s">
        <v>105538</v>
      </c>
      <c r="G242" s="155" t="s">
        <v>105547</v>
      </c>
      <c r="H242" s="155" t="s">
        <v>105675</v>
      </c>
      <c r="I242" s="76"/>
      <c r="J242" s="76"/>
      <c r="K242" s="76"/>
      <c r="L242" s="76"/>
      <c r="M242" s="78" t="s">
        <v>106663</v>
      </c>
      <c r="N242" s="79"/>
      <c r="O242" s="79"/>
      <c r="P242" s="80"/>
      <c r="Q242" s="80"/>
      <c r="R242" s="81">
        <f>SUM(R243:R244)</f>
        <v>87161340.200000003</v>
      </c>
      <c r="S242" s="82"/>
      <c r="T242" s="96"/>
      <c r="U242" s="79"/>
      <c r="V242" s="378">
        <f>SUM(V243:V244)</f>
        <v>87161340.200000003</v>
      </c>
      <c r="W242" s="378">
        <f t="shared" si="18"/>
        <v>0</v>
      </c>
      <c r="X242" s="81">
        <f>SUM(X243:X244)</f>
        <v>58991660.200000003</v>
      </c>
      <c r="Y242" s="335"/>
      <c r="Z242" s="404">
        <f>SUM(Z243:Z244)</f>
        <v>28169680</v>
      </c>
      <c r="AA242" s="81">
        <f t="shared" si="19"/>
        <v>58991660.200000003</v>
      </c>
    </row>
    <row r="243" spans="1:28" ht="95.25" customHeight="1" x14ac:dyDescent="0.25">
      <c r="B243" s="84"/>
      <c r="C243" s="85"/>
      <c r="D243" s="85"/>
      <c r="E243" s="85"/>
      <c r="F243" s="85"/>
      <c r="G243" s="85"/>
      <c r="H243" s="85"/>
      <c r="I243" s="85"/>
      <c r="J243" s="86"/>
      <c r="K243" s="86" t="s">
        <v>112210</v>
      </c>
      <c r="L243" s="87" t="s">
        <v>113208</v>
      </c>
      <c r="M243" s="97" t="s">
        <v>113113</v>
      </c>
      <c r="N243" s="89">
        <v>45536</v>
      </c>
      <c r="O243" s="89" t="s">
        <v>113074</v>
      </c>
      <c r="P243" s="90" t="s">
        <v>113005</v>
      </c>
      <c r="Q243" s="90" t="s">
        <v>113006</v>
      </c>
      <c r="R243" s="91">
        <f>40000000+12161340.2</f>
        <v>52161340.200000003</v>
      </c>
      <c r="S243" s="92"/>
      <c r="T243" s="93" t="s">
        <v>113017</v>
      </c>
      <c r="U243" s="275">
        <v>79024</v>
      </c>
      <c r="V243" s="276">
        <v>52161340.200000003</v>
      </c>
      <c r="W243" s="276">
        <f t="shared" si="18"/>
        <v>0</v>
      </c>
      <c r="X243" s="276">
        <f>V243-Z243</f>
        <v>52161340.200000003</v>
      </c>
      <c r="Y243" s="340"/>
      <c r="Z243" s="432"/>
      <c r="AA243" s="443">
        <f t="shared" si="19"/>
        <v>52161340.200000003</v>
      </c>
    </row>
    <row r="244" spans="1:28" ht="150" x14ac:dyDescent="0.25">
      <c r="B244" s="124"/>
      <c r="C244" s="125"/>
      <c r="D244" s="125"/>
      <c r="E244" s="125"/>
      <c r="F244" s="125"/>
      <c r="G244" s="125"/>
      <c r="H244" s="125"/>
      <c r="I244" s="125"/>
      <c r="J244" s="126"/>
      <c r="K244" s="86" t="s">
        <v>112210</v>
      </c>
      <c r="L244" s="156" t="s">
        <v>113503</v>
      </c>
      <c r="M244" s="97" t="s">
        <v>113112</v>
      </c>
      <c r="N244" s="89">
        <v>45536</v>
      </c>
      <c r="O244" s="89" t="s">
        <v>113074</v>
      </c>
      <c r="P244" s="90" t="s">
        <v>112997</v>
      </c>
      <c r="Q244" s="90" t="s">
        <v>113050</v>
      </c>
      <c r="R244" s="91">
        <v>35000000</v>
      </c>
      <c r="S244" s="92"/>
      <c r="T244" s="93" t="s">
        <v>113017</v>
      </c>
      <c r="U244" s="275">
        <v>81524</v>
      </c>
      <c r="V244" s="276">
        <v>35000000</v>
      </c>
      <c r="W244" s="276">
        <f t="shared" si="18"/>
        <v>0</v>
      </c>
      <c r="X244" s="276">
        <f>V244-Z244</f>
        <v>6830320</v>
      </c>
      <c r="Y244" s="340" t="s">
        <v>113525</v>
      </c>
      <c r="Z244" s="432">
        <v>28169680</v>
      </c>
      <c r="AA244" s="443">
        <f t="shared" si="19"/>
        <v>6830320</v>
      </c>
    </row>
    <row r="245" spans="1:28" x14ac:dyDescent="0.25">
      <c r="B245" s="76" t="s">
        <v>105516</v>
      </c>
      <c r="C245" s="76" t="s">
        <v>105924</v>
      </c>
      <c r="D245" s="76" t="s">
        <v>105520</v>
      </c>
      <c r="E245" s="76" t="s">
        <v>105520</v>
      </c>
      <c r="F245" s="76" t="s">
        <v>105538</v>
      </c>
      <c r="G245" s="155" t="s">
        <v>105547</v>
      </c>
      <c r="H245" s="155" t="s">
        <v>106109</v>
      </c>
      <c r="I245" s="76"/>
      <c r="J245" s="76"/>
      <c r="K245" s="76"/>
      <c r="L245" s="76"/>
      <c r="M245" s="103" t="s">
        <v>106667</v>
      </c>
      <c r="N245" s="79"/>
      <c r="O245" s="79"/>
      <c r="P245" s="80"/>
      <c r="Q245" s="80"/>
      <c r="R245" s="81">
        <f>+R246</f>
        <v>200000000</v>
      </c>
      <c r="S245" s="82"/>
      <c r="T245" s="96"/>
      <c r="U245" s="79"/>
      <c r="V245" s="378">
        <f>+V246</f>
        <v>200000000</v>
      </c>
      <c r="W245" s="378">
        <f t="shared" si="18"/>
        <v>0</v>
      </c>
      <c r="X245" s="81">
        <f>+X246</f>
        <v>3241200</v>
      </c>
      <c r="Y245" s="335"/>
      <c r="Z245" s="404">
        <f>+Z246</f>
        <v>196758800</v>
      </c>
      <c r="AA245" s="81">
        <f t="shared" si="19"/>
        <v>3241200</v>
      </c>
    </row>
    <row r="246" spans="1:28" ht="45" x14ac:dyDescent="0.25">
      <c r="B246" s="124"/>
      <c r="C246" s="125"/>
      <c r="D246" s="125"/>
      <c r="E246" s="125"/>
      <c r="F246" s="125"/>
      <c r="G246" s="125"/>
      <c r="H246" s="125"/>
      <c r="I246" s="125"/>
      <c r="J246" s="126"/>
      <c r="K246" s="86" t="s">
        <v>112210</v>
      </c>
      <c r="L246" s="112" t="s">
        <v>113209</v>
      </c>
      <c r="M246" s="113" t="s">
        <v>113114</v>
      </c>
      <c r="N246" s="114">
        <v>45393</v>
      </c>
      <c r="O246" s="89" t="s">
        <v>113004</v>
      </c>
      <c r="P246" s="90" t="s">
        <v>113133</v>
      </c>
      <c r="Q246" s="121" t="s">
        <v>113089</v>
      </c>
      <c r="R246" s="91">
        <v>200000000</v>
      </c>
      <c r="S246" s="92"/>
      <c r="T246" s="93" t="s">
        <v>113017</v>
      </c>
      <c r="U246" s="275">
        <v>41924</v>
      </c>
      <c r="V246" s="276">
        <v>200000000</v>
      </c>
      <c r="W246" s="276">
        <f t="shared" si="18"/>
        <v>0</v>
      </c>
      <c r="X246" s="276">
        <f>V246-Z246</f>
        <v>3241200</v>
      </c>
      <c r="Y246" s="340" t="s">
        <v>113408</v>
      </c>
      <c r="Z246" s="432">
        <v>196758800</v>
      </c>
      <c r="AA246" s="443">
        <f t="shared" si="19"/>
        <v>3241200</v>
      </c>
    </row>
    <row r="247" spans="1:28" ht="30" x14ac:dyDescent="0.25">
      <c r="B247" s="306" t="s">
        <v>105516</v>
      </c>
      <c r="C247" s="306" t="s">
        <v>105924</v>
      </c>
      <c r="D247" s="306" t="s">
        <v>105520</v>
      </c>
      <c r="E247" s="306" t="s">
        <v>105520</v>
      </c>
      <c r="F247" s="306" t="s">
        <v>105538</v>
      </c>
      <c r="G247" s="306" t="s">
        <v>105550</v>
      </c>
      <c r="H247" s="148"/>
      <c r="I247" s="148"/>
      <c r="J247" s="148"/>
      <c r="K247" s="149"/>
      <c r="L247" s="149"/>
      <c r="M247" s="150" t="s">
        <v>106669</v>
      </c>
      <c r="N247" s="151"/>
      <c r="O247" s="151"/>
      <c r="P247" s="152"/>
      <c r="Q247" s="152"/>
      <c r="R247" s="153">
        <f>+R248</f>
        <v>200000000</v>
      </c>
      <c r="S247" s="153"/>
      <c r="T247" s="153"/>
      <c r="U247" s="153"/>
      <c r="V247" s="384">
        <f>+V248</f>
        <v>200000000</v>
      </c>
      <c r="W247" s="384">
        <f t="shared" si="18"/>
        <v>0</v>
      </c>
      <c r="X247" s="153">
        <f>+X248</f>
        <v>0</v>
      </c>
      <c r="Y247" s="153"/>
      <c r="Z247" s="409">
        <f>+Z248</f>
        <v>200000000</v>
      </c>
      <c r="AA247" s="153">
        <f t="shared" si="19"/>
        <v>0</v>
      </c>
    </row>
    <row r="248" spans="1:28"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78">
        <f>+V249</f>
        <v>200000000</v>
      </c>
      <c r="W248" s="378">
        <f t="shared" si="18"/>
        <v>0</v>
      </c>
      <c r="X248" s="81">
        <f>+X249</f>
        <v>0</v>
      </c>
      <c r="Y248" s="335"/>
      <c r="Z248" s="404">
        <f>+Z249</f>
        <v>200000000</v>
      </c>
      <c r="AA248" s="81">
        <f t="shared" si="19"/>
        <v>0</v>
      </c>
    </row>
    <row r="249" spans="1:28" ht="45" x14ac:dyDescent="0.25">
      <c r="B249" s="84"/>
      <c r="C249" s="85"/>
      <c r="D249" s="85"/>
      <c r="E249" s="85"/>
      <c r="F249" s="85"/>
      <c r="G249" s="85"/>
      <c r="H249" s="85"/>
      <c r="I249" s="85"/>
      <c r="J249" s="86"/>
      <c r="K249" s="86" t="s">
        <v>112216</v>
      </c>
      <c r="L249" s="87">
        <v>30171600</v>
      </c>
      <c r="M249" s="97" t="s">
        <v>113115</v>
      </c>
      <c r="N249" s="89">
        <v>45306</v>
      </c>
      <c r="O249" s="89" t="s">
        <v>113035</v>
      </c>
      <c r="P249" s="90" t="s">
        <v>113020</v>
      </c>
      <c r="Q249" s="90" t="s">
        <v>112998</v>
      </c>
      <c r="R249" s="91">
        <v>200000000</v>
      </c>
      <c r="S249" s="92"/>
      <c r="T249" s="93" t="s">
        <v>112999</v>
      </c>
      <c r="U249" s="275">
        <v>15324</v>
      </c>
      <c r="V249" s="276">
        <v>200000000</v>
      </c>
      <c r="W249" s="276">
        <f t="shared" si="18"/>
        <v>0</v>
      </c>
      <c r="X249" s="276">
        <f>V249-Z249</f>
        <v>0</v>
      </c>
      <c r="Y249" s="340" t="s">
        <v>113445</v>
      </c>
      <c r="Z249" s="432">
        <v>200000000</v>
      </c>
      <c r="AA249" s="443">
        <f t="shared" si="19"/>
        <v>0</v>
      </c>
    </row>
    <row r="250" spans="1:28" x14ac:dyDescent="0.25">
      <c r="B250" s="59" t="s">
        <v>105516</v>
      </c>
      <c r="C250" s="59" t="s">
        <v>105924</v>
      </c>
      <c r="D250" s="59" t="s">
        <v>105520</v>
      </c>
      <c r="E250" s="59" t="s">
        <v>105520</v>
      </c>
      <c r="F250" s="157" t="s">
        <v>105541</v>
      </c>
      <c r="G250" s="59"/>
      <c r="H250" s="59"/>
      <c r="I250" s="59"/>
      <c r="J250" s="59"/>
      <c r="K250" s="60"/>
      <c r="L250" s="61"/>
      <c r="M250" s="62" t="s">
        <v>112242</v>
      </c>
      <c r="N250" s="63"/>
      <c r="O250" s="63"/>
      <c r="P250" s="64"/>
      <c r="Q250" s="64"/>
      <c r="R250" s="65">
        <f>+R251+R254</f>
        <v>285598659.80000001</v>
      </c>
      <c r="S250" s="66"/>
      <c r="T250" s="67"/>
      <c r="U250" s="63" t="s">
        <v>112994</v>
      </c>
      <c r="V250" s="376">
        <f>+V251+V254</f>
        <v>252838659.80000001</v>
      </c>
      <c r="W250" s="376">
        <f t="shared" si="18"/>
        <v>32760000</v>
      </c>
      <c r="X250" s="65">
        <f>+X251+X254</f>
        <v>252838659.80000001</v>
      </c>
      <c r="Y250" s="333"/>
      <c r="Z250" s="402">
        <f>+Z251+Z254</f>
        <v>0</v>
      </c>
      <c r="AA250" s="65">
        <f t="shared" si="19"/>
        <v>285598659.80000001</v>
      </c>
    </row>
    <row r="251" spans="1:28" ht="30" x14ac:dyDescent="0.25">
      <c r="B251" s="306" t="s">
        <v>105516</v>
      </c>
      <c r="C251" s="306" t="s">
        <v>105924</v>
      </c>
      <c r="D251" s="306" t="s">
        <v>105520</v>
      </c>
      <c r="E251" s="306" t="s">
        <v>105520</v>
      </c>
      <c r="F251" s="306" t="s">
        <v>105541</v>
      </c>
      <c r="G251" s="306" t="s">
        <v>105535</v>
      </c>
      <c r="H251" s="148"/>
      <c r="I251" s="148"/>
      <c r="J251" s="148"/>
      <c r="K251" s="149"/>
      <c r="L251" s="149"/>
      <c r="M251" s="150" t="s">
        <v>106709</v>
      </c>
      <c r="N251" s="151"/>
      <c r="O251" s="151"/>
      <c r="P251" s="152"/>
      <c r="Q251" s="152"/>
      <c r="R251" s="153">
        <f>+R252+R253</f>
        <v>252838659.80000001</v>
      </c>
      <c r="S251" s="153"/>
      <c r="T251" s="153"/>
      <c r="U251" s="153"/>
      <c r="V251" s="384">
        <f>+V252+V253</f>
        <v>252838659.80000001</v>
      </c>
      <c r="W251" s="384">
        <f t="shared" si="18"/>
        <v>0</v>
      </c>
      <c r="X251" s="153">
        <f>+X252+X253</f>
        <v>252838659.80000001</v>
      </c>
      <c r="Y251" s="153"/>
      <c r="Z251" s="409">
        <f>+Z252+Z253</f>
        <v>0</v>
      </c>
      <c r="AA251" s="153">
        <f t="shared" si="19"/>
        <v>252838659.80000001</v>
      </c>
    </row>
    <row r="252" spans="1:28" ht="51.75" customHeight="1" x14ac:dyDescent="0.25">
      <c r="B252" s="84"/>
      <c r="C252" s="85"/>
      <c r="D252" s="85"/>
      <c r="E252" s="85"/>
      <c r="F252" s="85"/>
      <c r="G252" s="85"/>
      <c r="H252" s="85"/>
      <c r="I252" s="85"/>
      <c r="J252" s="86"/>
      <c r="K252" s="86" t="s">
        <v>112244</v>
      </c>
      <c r="L252" s="156" t="s">
        <v>113328</v>
      </c>
      <c r="M252" s="97" t="s">
        <v>113327</v>
      </c>
      <c r="N252" s="89">
        <v>45474</v>
      </c>
      <c r="O252" s="89" t="s">
        <v>112996</v>
      </c>
      <c r="P252" s="90" t="s">
        <v>113005</v>
      </c>
      <c r="Q252" s="90" t="s">
        <v>112998</v>
      </c>
      <c r="R252" s="91">
        <v>185000000</v>
      </c>
      <c r="S252" s="92"/>
      <c r="T252" s="93" t="s">
        <v>113017</v>
      </c>
      <c r="U252" s="275">
        <v>81224</v>
      </c>
      <c r="V252" s="276">
        <v>185000000</v>
      </c>
      <c r="W252" s="276">
        <f t="shared" si="18"/>
        <v>0</v>
      </c>
      <c r="X252" s="276">
        <f>V252-Z252</f>
        <v>185000000</v>
      </c>
      <c r="Y252" s="340"/>
      <c r="Z252" s="432"/>
      <c r="AA252" s="443">
        <f t="shared" si="19"/>
        <v>185000000</v>
      </c>
    </row>
    <row r="253" spans="1:28" ht="75" x14ac:dyDescent="0.25">
      <c r="B253" s="84"/>
      <c r="C253" s="85"/>
      <c r="D253" s="85"/>
      <c r="E253" s="85"/>
      <c r="F253" s="85"/>
      <c r="G253" s="85"/>
      <c r="H253" s="85"/>
      <c r="I253" s="85"/>
      <c r="J253" s="86"/>
      <c r="K253" s="86"/>
      <c r="L253" s="156" t="s">
        <v>113459</v>
      </c>
      <c r="M253" s="97" t="s">
        <v>113460</v>
      </c>
      <c r="N253" s="89">
        <v>45536</v>
      </c>
      <c r="O253" s="89" t="s">
        <v>113074</v>
      </c>
      <c r="P253" s="90" t="s">
        <v>113005</v>
      </c>
      <c r="Q253" s="90" t="s">
        <v>113006</v>
      </c>
      <c r="R253" s="91">
        <f>80000000-12161340.2</f>
        <v>67838659.799999997</v>
      </c>
      <c r="S253" s="92"/>
      <c r="T253" s="93" t="s">
        <v>113017</v>
      </c>
      <c r="U253" s="275">
        <v>79024</v>
      </c>
      <c r="V253" s="276">
        <f>80000000-12161340.2</f>
        <v>67838659.799999997</v>
      </c>
      <c r="W253" s="276">
        <f t="shared" si="18"/>
        <v>0</v>
      </c>
      <c r="X253" s="276">
        <f>V253-Z253</f>
        <v>67838659.799999997</v>
      </c>
      <c r="Y253" s="340"/>
      <c r="Z253" s="432"/>
      <c r="AA253" s="443">
        <f t="shared" si="19"/>
        <v>67838659.799999997</v>
      </c>
    </row>
    <row r="254" spans="1:28" s="295" customFormat="1" x14ac:dyDescent="0.25">
      <c r="A254" s="294"/>
      <c r="B254" s="306" t="s">
        <v>105516</v>
      </c>
      <c r="C254" s="306" t="s">
        <v>105924</v>
      </c>
      <c r="D254" s="306" t="s">
        <v>105520</v>
      </c>
      <c r="E254" s="306" t="s">
        <v>105520</v>
      </c>
      <c r="F254" s="306" t="s">
        <v>105541</v>
      </c>
      <c r="G254" s="308" t="s">
        <v>105547</v>
      </c>
      <c r="H254" s="148"/>
      <c r="I254" s="148"/>
      <c r="J254" s="148"/>
      <c r="K254" s="149"/>
      <c r="L254" s="149"/>
      <c r="M254" s="150" t="s">
        <v>106270</v>
      </c>
      <c r="N254" s="151"/>
      <c r="O254" s="151"/>
      <c r="P254" s="152"/>
      <c r="Q254" s="152"/>
      <c r="R254" s="153">
        <f>R255</f>
        <v>32760000</v>
      </c>
      <c r="S254" s="153"/>
      <c r="T254" s="153" t="str">
        <f t="shared" ref="T254:Z254" si="23">T255</f>
        <v>MANTENIMIENTO</v>
      </c>
      <c r="U254" s="153"/>
      <c r="V254" s="384">
        <f t="shared" si="23"/>
        <v>0</v>
      </c>
      <c r="W254" s="384">
        <f t="shared" si="18"/>
        <v>32760000</v>
      </c>
      <c r="X254" s="153">
        <f t="shared" si="23"/>
        <v>0</v>
      </c>
      <c r="Y254" s="153"/>
      <c r="Z254" s="409">
        <f t="shared" si="23"/>
        <v>0</v>
      </c>
      <c r="AA254" s="153">
        <f t="shared" si="19"/>
        <v>32760000</v>
      </c>
      <c r="AB254" s="426"/>
    </row>
    <row r="255" spans="1:28" ht="45" x14ac:dyDescent="0.25">
      <c r="B255" s="84"/>
      <c r="C255" s="85"/>
      <c r="D255" s="85"/>
      <c r="E255" s="85"/>
      <c r="F255" s="85"/>
      <c r="G255" s="85"/>
      <c r="H255" s="85"/>
      <c r="I255" s="85"/>
      <c r="J255" s="86"/>
      <c r="K255" s="86" t="s">
        <v>112266</v>
      </c>
      <c r="L255" s="156">
        <v>46171619</v>
      </c>
      <c r="M255" s="97" t="s">
        <v>113215</v>
      </c>
      <c r="N255" s="89">
        <v>45366</v>
      </c>
      <c r="O255" s="89" t="s">
        <v>113000</v>
      </c>
      <c r="P255" s="90" t="s">
        <v>113001</v>
      </c>
      <c r="Q255" s="90" t="s">
        <v>112998</v>
      </c>
      <c r="R255" s="91">
        <f>45000000-12240000</f>
        <v>32760000</v>
      </c>
      <c r="S255" s="92"/>
      <c r="T255" s="93" t="s">
        <v>112999</v>
      </c>
      <c r="U255" s="277"/>
      <c r="V255" s="276"/>
      <c r="W255" s="276">
        <f t="shared" si="18"/>
        <v>32760000</v>
      </c>
      <c r="X255" s="276">
        <f>V255-Z255</f>
        <v>0</v>
      </c>
      <c r="Y255" s="340"/>
      <c r="Z255" s="432"/>
      <c r="AA255" s="443">
        <f t="shared" si="19"/>
        <v>32760000</v>
      </c>
    </row>
    <row r="256" spans="1:28" x14ac:dyDescent="0.25">
      <c r="B256" s="142" t="s">
        <v>105516</v>
      </c>
      <c r="C256" s="142" t="s">
        <v>105924</v>
      </c>
      <c r="D256" s="142" t="s">
        <v>105520</v>
      </c>
      <c r="E256" s="142" t="s">
        <v>105573</v>
      </c>
      <c r="F256" s="142"/>
      <c r="G256" s="142"/>
      <c r="H256" s="142"/>
      <c r="I256" s="142"/>
      <c r="J256" s="142"/>
      <c r="K256" s="143"/>
      <c r="L256" s="143">
        <v>30171700</v>
      </c>
      <c r="M256" s="144" t="s">
        <v>106777</v>
      </c>
      <c r="N256" s="145"/>
      <c r="O256" s="145"/>
      <c r="P256" s="146"/>
      <c r="Q256" s="146"/>
      <c r="R256" s="147">
        <f>SUM(R257+R283+R287+R299+R332)</f>
        <v>12103240000</v>
      </c>
      <c r="S256" s="147"/>
      <c r="T256" s="147"/>
      <c r="U256" s="147"/>
      <c r="V256" s="383">
        <f>SUM(V257+V283+V287+V299+V332)</f>
        <v>11864493140.926668</v>
      </c>
      <c r="W256" s="383">
        <f t="shared" si="18"/>
        <v>238746859.07333183</v>
      </c>
      <c r="X256" s="147">
        <f>SUM(X257+X283+X287+X299+X332)</f>
        <v>1776579003.8766668</v>
      </c>
      <c r="Y256" s="147"/>
      <c r="Z256" s="408">
        <f>SUM(Z257+Z283+Z287+Z299+Z332)</f>
        <v>10087914137.049999</v>
      </c>
      <c r="AA256" s="147">
        <f t="shared" si="19"/>
        <v>2015325862.9500008</v>
      </c>
    </row>
    <row r="257" spans="2:27"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8514310773</v>
      </c>
      <c r="S257" s="65"/>
      <c r="T257" s="65"/>
      <c r="U257" s="65"/>
      <c r="V257" s="376">
        <f>+V258</f>
        <v>8350548626.666667</v>
      </c>
      <c r="W257" s="376">
        <f t="shared" si="18"/>
        <v>163762146.33333302</v>
      </c>
      <c r="X257" s="65">
        <f>+X258</f>
        <v>470149997.66666669</v>
      </c>
      <c r="Y257" s="65"/>
      <c r="Z257" s="402">
        <f>+Z258</f>
        <v>7880398629</v>
      </c>
      <c r="AA257" s="65">
        <f t="shared" si="19"/>
        <v>633912144</v>
      </c>
    </row>
    <row r="258" spans="2:27" x14ac:dyDescent="0.25">
      <c r="B258" s="306" t="s">
        <v>105516</v>
      </c>
      <c r="C258" s="306" t="s">
        <v>105924</v>
      </c>
      <c r="D258" s="306" t="s">
        <v>105520</v>
      </c>
      <c r="E258" s="306" t="s">
        <v>105573</v>
      </c>
      <c r="F258" s="306" t="s">
        <v>105544</v>
      </c>
      <c r="G258" s="306" t="s">
        <v>105541</v>
      </c>
      <c r="H258" s="148"/>
      <c r="I258" s="148"/>
      <c r="J258" s="148"/>
      <c r="K258" s="149"/>
      <c r="L258" s="149"/>
      <c r="M258" s="158" t="s">
        <v>106781</v>
      </c>
      <c r="N258" s="151"/>
      <c r="O258" s="151"/>
      <c r="P258" s="152"/>
      <c r="Q258" s="152"/>
      <c r="R258" s="153">
        <f>+R259+R270+R276</f>
        <v>8514310773</v>
      </c>
      <c r="S258" s="153"/>
      <c r="T258" s="153"/>
      <c r="U258" s="153"/>
      <c r="V258" s="384">
        <f>+V259+V270+V276</f>
        <v>8350548626.666667</v>
      </c>
      <c r="W258" s="384">
        <f t="shared" si="18"/>
        <v>163762146.33333302</v>
      </c>
      <c r="X258" s="153">
        <f>+X259+X270+X276</f>
        <v>470149997.66666669</v>
      </c>
      <c r="Y258" s="153"/>
      <c r="Z258" s="409">
        <f>+Z259+Z270+Z276</f>
        <v>7880398629</v>
      </c>
      <c r="AA258" s="153">
        <f t="shared" si="19"/>
        <v>633912144</v>
      </c>
    </row>
    <row r="259" spans="2:27"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6985710773</v>
      </c>
      <c r="S259" s="82"/>
      <c r="T259" s="96"/>
      <c r="U259" s="79"/>
      <c r="V259" s="378">
        <f>SUM(V260:V269)</f>
        <v>6787048626.666667</v>
      </c>
      <c r="W259" s="378">
        <f t="shared" si="18"/>
        <v>198662146.33333302</v>
      </c>
      <c r="X259" s="81">
        <f>SUM(X260:X269)</f>
        <v>233516666.66666669</v>
      </c>
      <c r="Y259" s="335"/>
      <c r="Z259" s="404">
        <f>SUM(Z260:Z269)</f>
        <v>6553531960</v>
      </c>
      <c r="AA259" s="81">
        <f t="shared" si="19"/>
        <v>432178813</v>
      </c>
    </row>
    <row r="260" spans="2:27" ht="58.5" customHeight="1" x14ac:dyDescent="0.25">
      <c r="B260" s="84"/>
      <c r="C260" s="85"/>
      <c r="D260" s="85"/>
      <c r="E260" s="85"/>
      <c r="F260" s="85"/>
      <c r="G260" s="85"/>
      <c r="H260" s="85"/>
      <c r="I260" s="85"/>
      <c r="J260" s="86"/>
      <c r="K260" s="86" t="s">
        <v>112301</v>
      </c>
      <c r="L260" s="87" t="s">
        <v>113117</v>
      </c>
      <c r="M260" s="88" t="s">
        <v>113216</v>
      </c>
      <c r="N260" s="89">
        <v>45306</v>
      </c>
      <c r="O260" s="89" t="s">
        <v>113057</v>
      </c>
      <c r="P260" s="90" t="s">
        <v>113020</v>
      </c>
      <c r="Q260" s="90" t="s">
        <v>113116</v>
      </c>
      <c r="R260" s="91">
        <f>3000000000+2700000000+303699713-12300000-76541866.67-880900-30000000</f>
        <v>5883976946.3299999</v>
      </c>
      <c r="S260" s="119"/>
      <c r="T260" s="93" t="s">
        <v>112999</v>
      </c>
      <c r="U260" s="275">
        <v>16724</v>
      </c>
      <c r="V260" s="276">
        <v>5700000000</v>
      </c>
      <c r="W260" s="276">
        <f t="shared" si="18"/>
        <v>183976946.32999992</v>
      </c>
      <c r="X260" s="276">
        <f t="shared" ref="X260:X282" si="24">V260-Z260</f>
        <v>0</v>
      </c>
      <c r="Y260" s="340" t="s">
        <v>113410</v>
      </c>
      <c r="Z260" s="432">
        <f>4702080000+912560000+85360000</f>
        <v>5700000000</v>
      </c>
      <c r="AA260" s="443">
        <f t="shared" si="19"/>
        <v>183976946.32999992</v>
      </c>
    </row>
    <row r="261" spans="2:27" ht="54" customHeight="1" x14ac:dyDescent="0.25">
      <c r="B261" s="84"/>
      <c r="C261" s="85"/>
      <c r="D261" s="85"/>
      <c r="E261" s="85"/>
      <c r="F261" s="85"/>
      <c r="G261" s="85"/>
      <c r="H261" s="85"/>
      <c r="I261" s="85"/>
      <c r="J261" s="86"/>
      <c r="K261" s="86" t="s">
        <v>112301</v>
      </c>
      <c r="L261" s="87" t="s">
        <v>113117</v>
      </c>
      <c r="M261" s="88" t="s">
        <v>113217</v>
      </c>
      <c r="N261" s="89">
        <v>45306</v>
      </c>
      <c r="O261" s="89" t="s">
        <v>113057</v>
      </c>
      <c r="P261" s="90" t="s">
        <v>113020</v>
      </c>
      <c r="Q261" s="90" t="s">
        <v>113116</v>
      </c>
      <c r="R261" s="91">
        <f>2700000000-2700000000</f>
        <v>0</v>
      </c>
      <c r="S261" s="119"/>
      <c r="T261" s="93" t="s">
        <v>112999</v>
      </c>
      <c r="U261" s="277"/>
      <c r="V261" s="276"/>
      <c r="W261" s="276">
        <f t="shared" si="18"/>
        <v>0</v>
      </c>
      <c r="X261" s="276">
        <f t="shared" si="24"/>
        <v>0</v>
      </c>
      <c r="Y261" s="340"/>
      <c r="Z261" s="432"/>
      <c r="AA261" s="443">
        <f t="shared" si="19"/>
        <v>0</v>
      </c>
    </row>
    <row r="262" spans="2:27" ht="45" x14ac:dyDescent="0.25">
      <c r="B262" s="84"/>
      <c r="C262" s="85"/>
      <c r="D262" s="85"/>
      <c r="E262" s="85"/>
      <c r="F262" s="85"/>
      <c r="G262" s="85"/>
      <c r="H262" s="85"/>
      <c r="I262" s="85"/>
      <c r="J262" s="86"/>
      <c r="K262" s="86" t="s">
        <v>112301</v>
      </c>
      <c r="L262" s="87" t="s">
        <v>113118</v>
      </c>
      <c r="M262" s="88" t="s">
        <v>113218</v>
      </c>
      <c r="N262" s="89"/>
      <c r="O262" s="89"/>
      <c r="P262" s="90"/>
      <c r="Q262" s="90"/>
      <c r="R262" s="91">
        <v>225120000</v>
      </c>
      <c r="S262" s="159"/>
      <c r="T262" s="93" t="s">
        <v>112999</v>
      </c>
      <c r="U262" s="275">
        <v>1024</v>
      </c>
      <c r="V262" s="276">
        <v>225120000</v>
      </c>
      <c r="W262" s="276">
        <f t="shared" si="18"/>
        <v>0</v>
      </c>
      <c r="X262" s="276">
        <f t="shared" si="24"/>
        <v>0</v>
      </c>
      <c r="Y262" s="340" t="s">
        <v>113402</v>
      </c>
      <c r="Z262" s="432">
        <v>225120000</v>
      </c>
      <c r="AA262" s="443">
        <f t="shared" si="19"/>
        <v>0</v>
      </c>
    </row>
    <row r="263" spans="2:27" ht="45" x14ac:dyDescent="0.25">
      <c r="B263" s="84"/>
      <c r="C263" s="85"/>
      <c r="D263" s="85"/>
      <c r="E263" s="85"/>
      <c r="F263" s="85"/>
      <c r="G263" s="85"/>
      <c r="H263" s="85"/>
      <c r="I263" s="85"/>
      <c r="J263" s="86"/>
      <c r="K263" s="86" t="s">
        <v>112301</v>
      </c>
      <c r="L263" s="87" t="s">
        <v>113118</v>
      </c>
      <c r="M263" s="88" t="s">
        <v>113219</v>
      </c>
      <c r="N263" s="89">
        <v>45397</v>
      </c>
      <c r="O263" s="89" t="s">
        <v>113082</v>
      </c>
      <c r="P263" s="90" t="s">
        <v>113065</v>
      </c>
      <c r="Q263" s="90" t="s">
        <v>113066</v>
      </c>
      <c r="R263" s="91">
        <f>225120000-58718040</f>
        <v>166401960</v>
      </c>
      <c r="S263" s="262">
        <v>238680000</v>
      </c>
      <c r="T263" s="93" t="s">
        <v>112999</v>
      </c>
      <c r="U263" s="275">
        <v>27624</v>
      </c>
      <c r="V263" s="276">
        <v>166401960</v>
      </c>
      <c r="W263" s="276">
        <f t="shared" si="18"/>
        <v>0</v>
      </c>
      <c r="X263" s="276">
        <f t="shared" si="24"/>
        <v>0</v>
      </c>
      <c r="Y263" s="340" t="s">
        <v>113466</v>
      </c>
      <c r="Z263" s="432">
        <f>60000000+106401960</f>
        <v>166401960</v>
      </c>
      <c r="AA263" s="443">
        <f t="shared" si="19"/>
        <v>0</v>
      </c>
    </row>
    <row r="264" spans="2:27" ht="77.25" customHeight="1" x14ac:dyDescent="0.25">
      <c r="B264" s="84"/>
      <c r="C264" s="85"/>
      <c r="D264" s="85"/>
      <c r="E264" s="85"/>
      <c r="F264" s="85"/>
      <c r="G264" s="85"/>
      <c r="H264" s="85"/>
      <c r="I264" s="85"/>
      <c r="J264" s="86"/>
      <c r="K264" s="86"/>
      <c r="L264" s="87" t="s">
        <v>113118</v>
      </c>
      <c r="M264" s="88" t="s">
        <v>113480</v>
      </c>
      <c r="N264" s="89">
        <v>45544</v>
      </c>
      <c r="O264" s="89" t="s">
        <v>113074</v>
      </c>
      <c r="P264" s="90" t="s">
        <v>113468</v>
      </c>
      <c r="Q264" s="90" t="s">
        <v>113066</v>
      </c>
      <c r="R264" s="91">
        <f>58718040+14975300+1346660</f>
        <v>75040000</v>
      </c>
      <c r="S264" s="92"/>
      <c r="T264" s="93" t="s">
        <v>112999</v>
      </c>
      <c r="U264" s="275">
        <v>81624</v>
      </c>
      <c r="V264" s="276">
        <v>75040000</v>
      </c>
      <c r="W264" s="276">
        <f t="shared" ref="W264:W327" si="25">R264-V264</f>
        <v>0</v>
      </c>
      <c r="X264" s="276">
        <f t="shared" si="24"/>
        <v>75040000</v>
      </c>
      <c r="Y264" s="340"/>
      <c r="Z264" s="432"/>
      <c r="AA264" s="443">
        <f t="shared" ref="AA264:AA327" si="26">R264-Z264</f>
        <v>75040000</v>
      </c>
    </row>
    <row r="265" spans="2:27" ht="61.5" customHeight="1" x14ac:dyDescent="0.25">
      <c r="B265" s="84"/>
      <c r="C265" s="85"/>
      <c r="D265" s="85"/>
      <c r="E265" s="85"/>
      <c r="F265" s="85"/>
      <c r="G265" s="85"/>
      <c r="H265" s="85"/>
      <c r="I265" s="85"/>
      <c r="J265" s="86"/>
      <c r="K265" s="86" t="s">
        <v>112301</v>
      </c>
      <c r="L265" s="87">
        <v>72154100</v>
      </c>
      <c r="M265" s="88" t="s">
        <v>113220</v>
      </c>
      <c r="N265" s="89"/>
      <c r="O265" s="89"/>
      <c r="P265" s="90"/>
      <c r="Q265" s="90"/>
      <c r="R265" s="91">
        <v>256940000</v>
      </c>
      <c r="S265" s="119"/>
      <c r="T265" s="93" t="s">
        <v>112999</v>
      </c>
      <c r="U265" s="275">
        <v>724</v>
      </c>
      <c r="V265" s="276">
        <v>256260000</v>
      </c>
      <c r="W265" s="276">
        <f t="shared" si="25"/>
        <v>680000</v>
      </c>
      <c r="X265" s="276">
        <f t="shared" si="24"/>
        <v>0</v>
      </c>
      <c r="Y265" s="340" t="s">
        <v>113401</v>
      </c>
      <c r="Z265" s="432">
        <v>256260000</v>
      </c>
      <c r="AA265" s="443">
        <f t="shared" si="26"/>
        <v>680000</v>
      </c>
    </row>
    <row r="266" spans="2:27" ht="63" customHeight="1" x14ac:dyDescent="0.25">
      <c r="B266" s="84"/>
      <c r="C266" s="85"/>
      <c r="D266" s="85"/>
      <c r="E266" s="85"/>
      <c r="F266" s="85"/>
      <c r="G266" s="85"/>
      <c r="H266" s="85"/>
      <c r="I266" s="85"/>
      <c r="J266" s="86"/>
      <c r="K266" s="86" t="s">
        <v>112301</v>
      </c>
      <c r="L266" s="87">
        <v>72154100</v>
      </c>
      <c r="M266" s="88" t="s">
        <v>113221</v>
      </c>
      <c r="N266" s="89">
        <v>45397</v>
      </c>
      <c r="O266" s="89" t="s">
        <v>113082</v>
      </c>
      <c r="P266" s="90" t="s">
        <v>113065</v>
      </c>
      <c r="Q266" s="90" t="s">
        <v>113066</v>
      </c>
      <c r="R266" s="91">
        <f>256940000-33910000</f>
        <v>223030000</v>
      </c>
      <c r="S266" s="263">
        <v>272400000</v>
      </c>
      <c r="T266" s="93" t="s">
        <v>112999</v>
      </c>
      <c r="U266" s="275">
        <v>27624</v>
      </c>
      <c r="V266" s="276">
        <v>223030000</v>
      </c>
      <c r="W266" s="276">
        <f t="shared" si="25"/>
        <v>0</v>
      </c>
      <c r="X266" s="276">
        <f t="shared" si="24"/>
        <v>42830000</v>
      </c>
      <c r="Y266" s="354" t="s">
        <v>113490</v>
      </c>
      <c r="Z266" s="432">
        <f>115200000+65000000</f>
        <v>180200000</v>
      </c>
      <c r="AA266" s="443">
        <f t="shared" si="26"/>
        <v>42830000</v>
      </c>
    </row>
    <row r="267" spans="2:27" ht="104.25" customHeight="1" x14ac:dyDescent="0.25">
      <c r="B267" s="84"/>
      <c r="C267" s="85"/>
      <c r="D267" s="85"/>
      <c r="E267" s="85"/>
      <c r="F267" s="85"/>
      <c r="G267" s="85"/>
      <c r="H267" s="85"/>
      <c r="I267" s="85"/>
      <c r="J267" s="86"/>
      <c r="K267" s="86"/>
      <c r="L267" s="87">
        <v>72154100</v>
      </c>
      <c r="M267" s="88" t="s">
        <v>113469</v>
      </c>
      <c r="N267" s="89">
        <v>45544</v>
      </c>
      <c r="O267" s="89" t="s">
        <v>113074</v>
      </c>
      <c r="P267" s="90" t="s">
        <v>113468</v>
      </c>
      <c r="Q267" s="90" t="s">
        <v>113066</v>
      </c>
      <c r="R267" s="91">
        <f>33910000+65741866.67</f>
        <v>99651866.670000002</v>
      </c>
      <c r="S267" s="92"/>
      <c r="T267" s="93" t="s">
        <v>112999</v>
      </c>
      <c r="U267" s="275">
        <v>81624</v>
      </c>
      <c r="V267" s="276">
        <v>85646666.666666672</v>
      </c>
      <c r="W267" s="276">
        <f t="shared" si="25"/>
        <v>14005200.00333333</v>
      </c>
      <c r="X267" s="276">
        <f t="shared" si="24"/>
        <v>85646666.666666672</v>
      </c>
      <c r="Y267" s="340"/>
      <c r="Z267" s="432"/>
      <c r="AA267" s="443">
        <f t="shared" si="26"/>
        <v>99651866.670000002</v>
      </c>
    </row>
    <row r="268" spans="2:27" ht="72" customHeight="1" x14ac:dyDescent="0.25">
      <c r="B268" s="84"/>
      <c r="C268" s="85"/>
      <c r="D268" s="85"/>
      <c r="E268" s="85"/>
      <c r="F268" s="85"/>
      <c r="G268" s="85"/>
      <c r="H268" s="85"/>
      <c r="I268" s="85"/>
      <c r="J268" s="86"/>
      <c r="K268" s="86" t="s">
        <v>112301</v>
      </c>
      <c r="L268" s="87" t="s">
        <v>113100</v>
      </c>
      <c r="M268" s="88" t="s">
        <v>113101</v>
      </c>
      <c r="N268" s="89">
        <v>45444</v>
      </c>
      <c r="O268" s="89" t="s">
        <v>112996</v>
      </c>
      <c r="P268" s="121" t="s">
        <v>113005</v>
      </c>
      <c r="Q268" s="90" t="s">
        <v>113050</v>
      </c>
      <c r="R268" s="91">
        <v>25550000</v>
      </c>
      <c r="S268" s="159"/>
      <c r="T268" s="93" t="s">
        <v>112999</v>
      </c>
      <c r="U268" s="275">
        <v>83824</v>
      </c>
      <c r="V268" s="276">
        <v>25550000</v>
      </c>
      <c r="W268" s="276">
        <f t="shared" si="25"/>
        <v>0</v>
      </c>
      <c r="X268" s="276">
        <f t="shared" si="24"/>
        <v>0</v>
      </c>
      <c r="Y268" s="340" t="s">
        <v>113522</v>
      </c>
      <c r="Z268" s="432">
        <v>25550000</v>
      </c>
      <c r="AA268" s="443">
        <f t="shared" si="26"/>
        <v>0</v>
      </c>
    </row>
    <row r="269" spans="2:27" ht="45" x14ac:dyDescent="0.25">
      <c r="B269" s="84"/>
      <c r="C269" s="85"/>
      <c r="D269" s="85"/>
      <c r="E269" s="85"/>
      <c r="F269" s="85"/>
      <c r="G269" s="85"/>
      <c r="H269" s="85"/>
      <c r="I269" s="85"/>
      <c r="J269" s="86"/>
      <c r="K269" s="86" t="s">
        <v>112301</v>
      </c>
      <c r="L269" s="87">
        <v>72154100</v>
      </c>
      <c r="M269" s="88" t="s">
        <v>113168</v>
      </c>
      <c r="N269" s="89">
        <v>45474</v>
      </c>
      <c r="O269" s="89" t="s">
        <v>112996</v>
      </c>
      <c r="P269" s="121" t="s">
        <v>112997</v>
      </c>
      <c r="Q269" s="90" t="s">
        <v>113050</v>
      </c>
      <c r="R269" s="91">
        <v>30000000</v>
      </c>
      <c r="S269" s="159"/>
      <c r="T269" s="93" t="s">
        <v>112999</v>
      </c>
      <c r="U269" s="275">
        <v>83524</v>
      </c>
      <c r="V269" s="276">
        <v>30000000</v>
      </c>
      <c r="W269" s="276">
        <f t="shared" si="25"/>
        <v>0</v>
      </c>
      <c r="X269" s="276">
        <f t="shared" si="24"/>
        <v>30000000</v>
      </c>
      <c r="Y269" s="340"/>
      <c r="Z269" s="432"/>
      <c r="AA269" s="443">
        <f t="shared" si="26"/>
        <v>30000000</v>
      </c>
    </row>
    <row r="270" spans="2:27"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78">
        <f>SUM(V271:V275)</f>
        <v>126700000</v>
      </c>
      <c r="W270" s="378">
        <f t="shared" si="25"/>
        <v>30000000</v>
      </c>
      <c r="X270" s="81">
        <f>SUM(X271:X275)</f>
        <v>80000000</v>
      </c>
      <c r="Y270" s="335"/>
      <c r="Z270" s="404">
        <f>SUM(Z271:Z275)</f>
        <v>46700000</v>
      </c>
      <c r="AA270" s="81">
        <f t="shared" si="26"/>
        <v>110000000</v>
      </c>
    </row>
    <row r="271" spans="2:27" ht="38.25" customHeight="1" x14ac:dyDescent="0.25">
      <c r="B271" s="84"/>
      <c r="C271" s="85"/>
      <c r="D271" s="85"/>
      <c r="E271" s="85"/>
      <c r="F271" s="85"/>
      <c r="G271" s="85"/>
      <c r="H271" s="85"/>
      <c r="I271" s="85"/>
      <c r="J271" s="86"/>
      <c r="K271" s="86" t="s">
        <v>112301</v>
      </c>
      <c r="L271" s="51">
        <v>72101500</v>
      </c>
      <c r="M271" s="97" t="s">
        <v>113119</v>
      </c>
      <c r="N271" s="89">
        <v>45301</v>
      </c>
      <c r="O271" s="89" t="s">
        <v>113164</v>
      </c>
      <c r="P271" s="90" t="s">
        <v>113169</v>
      </c>
      <c r="Q271" s="90" t="s">
        <v>113051</v>
      </c>
      <c r="R271" s="91">
        <v>29700000</v>
      </c>
      <c r="S271" s="161"/>
      <c r="T271" s="93" t="s">
        <v>112999</v>
      </c>
      <c r="U271" s="275">
        <v>5524</v>
      </c>
      <c r="V271" s="276">
        <v>29700000</v>
      </c>
      <c r="W271" s="276">
        <f t="shared" si="25"/>
        <v>0</v>
      </c>
      <c r="X271" s="276">
        <f t="shared" si="24"/>
        <v>0</v>
      </c>
      <c r="Y271" s="340" t="s">
        <v>113411</v>
      </c>
      <c r="Z271" s="432">
        <v>29700000</v>
      </c>
      <c r="AA271" s="443">
        <f t="shared" si="26"/>
        <v>0</v>
      </c>
    </row>
    <row r="272" spans="2:27" ht="60" x14ac:dyDescent="0.25">
      <c r="B272" s="84"/>
      <c r="C272" s="85"/>
      <c r="D272" s="85"/>
      <c r="E272" s="85"/>
      <c r="F272" s="85"/>
      <c r="G272" s="85"/>
      <c r="H272" s="85"/>
      <c r="I272" s="85"/>
      <c r="J272" s="86"/>
      <c r="K272" s="86" t="s">
        <v>112301</v>
      </c>
      <c r="L272" s="87" t="s">
        <v>113120</v>
      </c>
      <c r="M272" s="97" t="s">
        <v>113464</v>
      </c>
      <c r="N272" s="89">
        <v>45536</v>
      </c>
      <c r="O272" s="89" t="s">
        <v>113074</v>
      </c>
      <c r="P272" s="90" t="s">
        <v>113005</v>
      </c>
      <c r="Q272" s="90" t="s">
        <v>113089</v>
      </c>
      <c r="R272" s="91">
        <v>95000000</v>
      </c>
      <c r="S272" s="161"/>
      <c r="T272" s="93" t="s">
        <v>113002</v>
      </c>
      <c r="U272" s="275">
        <v>81124</v>
      </c>
      <c r="V272" s="276">
        <v>65000000</v>
      </c>
      <c r="W272" s="276">
        <f t="shared" si="25"/>
        <v>30000000</v>
      </c>
      <c r="X272" s="276">
        <f t="shared" si="24"/>
        <v>65000000</v>
      </c>
      <c r="Y272" s="340"/>
      <c r="Z272" s="432"/>
      <c r="AA272" s="443">
        <f t="shared" si="26"/>
        <v>95000000</v>
      </c>
    </row>
    <row r="273" spans="2:27" ht="71.25" customHeight="1" x14ac:dyDescent="0.25">
      <c r="B273" s="84"/>
      <c r="C273" s="85"/>
      <c r="D273" s="85"/>
      <c r="E273" s="85"/>
      <c r="F273" s="85"/>
      <c r="G273" s="85"/>
      <c r="H273" s="85"/>
      <c r="I273" s="85"/>
      <c r="J273" s="86"/>
      <c r="K273" s="86"/>
      <c r="L273" s="87">
        <v>72151500</v>
      </c>
      <c r="M273" s="88" t="s">
        <v>113477</v>
      </c>
      <c r="N273" s="89">
        <v>45548</v>
      </c>
      <c r="O273" s="89" t="s">
        <v>113074</v>
      </c>
      <c r="P273" s="90" t="s">
        <v>112997</v>
      </c>
      <c r="Q273" s="90" t="s">
        <v>113051</v>
      </c>
      <c r="R273" s="91">
        <v>17000000</v>
      </c>
      <c r="S273" s="92"/>
      <c r="T273" s="93" t="s">
        <v>112999</v>
      </c>
      <c r="U273" s="275">
        <v>83124</v>
      </c>
      <c r="V273" s="276">
        <v>17000000</v>
      </c>
      <c r="W273" s="276">
        <f t="shared" si="25"/>
        <v>0</v>
      </c>
      <c r="X273" s="276">
        <f t="shared" si="24"/>
        <v>0</v>
      </c>
      <c r="Y273" s="340" t="s">
        <v>113505</v>
      </c>
      <c r="Z273" s="432">
        <v>17000000</v>
      </c>
      <c r="AA273" s="443">
        <f t="shared" si="26"/>
        <v>0</v>
      </c>
    </row>
    <row r="274" spans="2:27" ht="71.25" customHeight="1" x14ac:dyDescent="0.25">
      <c r="B274" s="84"/>
      <c r="C274" s="85"/>
      <c r="D274" s="85"/>
      <c r="E274" s="85"/>
      <c r="F274" s="85"/>
      <c r="G274" s="85"/>
      <c r="H274" s="85"/>
      <c r="I274" s="85"/>
      <c r="J274" s="86"/>
      <c r="K274" s="86"/>
      <c r="L274" s="87" t="s">
        <v>113478</v>
      </c>
      <c r="M274" s="88" t="s">
        <v>113487</v>
      </c>
      <c r="N274" s="89">
        <v>45552</v>
      </c>
      <c r="O274" s="89" t="s">
        <v>113074</v>
      </c>
      <c r="P274" s="90" t="s">
        <v>113075</v>
      </c>
      <c r="Q274" s="90" t="s">
        <v>113050</v>
      </c>
      <c r="R274" s="91">
        <v>15000000</v>
      </c>
      <c r="S274" s="92"/>
      <c r="T274" s="93" t="s">
        <v>112999</v>
      </c>
      <c r="U274" s="275">
        <v>87224</v>
      </c>
      <c r="V274" s="276">
        <v>15000000</v>
      </c>
      <c r="W274" s="276">
        <f t="shared" si="25"/>
        <v>0</v>
      </c>
      <c r="X274" s="276">
        <f t="shared" si="24"/>
        <v>15000000</v>
      </c>
      <c r="Y274" s="340"/>
      <c r="Z274" s="432"/>
      <c r="AA274" s="443">
        <f t="shared" si="26"/>
        <v>15000000</v>
      </c>
    </row>
    <row r="275" spans="2:27" ht="45" x14ac:dyDescent="0.25">
      <c r="B275" s="84"/>
      <c r="C275" s="85"/>
      <c r="D275" s="85"/>
      <c r="E275" s="85"/>
      <c r="F275" s="85"/>
      <c r="G275" s="85"/>
      <c r="H275" s="85"/>
      <c r="I275" s="85"/>
      <c r="J275" s="86"/>
      <c r="K275" s="86" t="s">
        <v>112301</v>
      </c>
      <c r="L275" s="87" t="s">
        <v>113120</v>
      </c>
      <c r="M275" s="88" t="s">
        <v>113239</v>
      </c>
      <c r="N275" s="89">
        <v>44998</v>
      </c>
      <c r="O275" s="89" t="s">
        <v>113004</v>
      </c>
      <c r="P275" s="90" t="s">
        <v>113003</v>
      </c>
      <c r="Q275" s="90" t="s">
        <v>113089</v>
      </c>
      <c r="R275" s="91">
        <v>0</v>
      </c>
      <c r="S275" s="161"/>
      <c r="T275" s="93" t="s">
        <v>113002</v>
      </c>
      <c r="U275" s="277"/>
      <c r="V275" s="276"/>
      <c r="W275" s="276">
        <f t="shared" si="25"/>
        <v>0</v>
      </c>
      <c r="X275" s="276">
        <f t="shared" si="24"/>
        <v>0</v>
      </c>
      <c r="Y275" s="340"/>
      <c r="Z275" s="432"/>
      <c r="AA275" s="443">
        <f t="shared" si="26"/>
        <v>0</v>
      </c>
    </row>
    <row r="276" spans="2:27"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78">
        <f>SUM(V277:V282)</f>
        <v>1436800000</v>
      </c>
      <c r="W276" s="378">
        <f t="shared" si="25"/>
        <v>-64900000</v>
      </c>
      <c r="X276" s="81">
        <f>SUM(X277:X282)</f>
        <v>156633331</v>
      </c>
      <c r="Y276" s="335"/>
      <c r="Z276" s="404">
        <f>SUM(Z277:Z282)</f>
        <v>1280166669</v>
      </c>
      <c r="AA276" s="81">
        <f t="shared" si="26"/>
        <v>91733331</v>
      </c>
    </row>
    <row r="277" spans="2:27" ht="53.25" customHeight="1" x14ac:dyDescent="0.25">
      <c r="B277" s="84"/>
      <c r="C277" s="85"/>
      <c r="D277" s="85"/>
      <c r="E277" s="85"/>
      <c r="F277" s="85"/>
      <c r="G277" s="85"/>
      <c r="H277" s="85"/>
      <c r="I277" s="85"/>
      <c r="J277" s="86"/>
      <c r="K277" s="86" t="s">
        <v>112301</v>
      </c>
      <c r="L277" s="51">
        <v>72141100</v>
      </c>
      <c r="M277" s="97" t="s">
        <v>113222</v>
      </c>
      <c r="N277" s="89">
        <v>45301</v>
      </c>
      <c r="O277" s="89" t="s">
        <v>113164</v>
      </c>
      <c r="P277" s="90" t="s">
        <v>113169</v>
      </c>
      <c r="Q277" s="90" t="s">
        <v>113051</v>
      </c>
      <c r="R277" s="91">
        <v>15600000</v>
      </c>
      <c r="S277" s="161"/>
      <c r="T277" s="93" t="s">
        <v>112999</v>
      </c>
      <c r="U277" s="277"/>
      <c r="V277" s="276"/>
      <c r="W277" s="276">
        <f t="shared" si="25"/>
        <v>15600000</v>
      </c>
      <c r="X277" s="276">
        <f t="shared" si="24"/>
        <v>0</v>
      </c>
      <c r="Y277" s="340"/>
      <c r="Z277" s="432"/>
      <c r="AA277" s="443">
        <f t="shared" si="26"/>
        <v>15600000</v>
      </c>
    </row>
    <row r="278" spans="2:27" ht="71.25" customHeight="1" x14ac:dyDescent="0.25">
      <c r="B278" s="84"/>
      <c r="C278" s="85"/>
      <c r="D278" s="85"/>
      <c r="E278" s="85"/>
      <c r="F278" s="85"/>
      <c r="G278" s="85"/>
      <c r="H278" s="85"/>
      <c r="I278" s="85"/>
      <c r="J278" s="86"/>
      <c r="K278" s="86"/>
      <c r="L278" s="87">
        <v>72101500</v>
      </c>
      <c r="M278" s="88" t="s">
        <v>113475</v>
      </c>
      <c r="N278" s="89">
        <v>45548</v>
      </c>
      <c r="O278" s="89" t="s">
        <v>113074</v>
      </c>
      <c r="P278" s="90" t="s">
        <v>112997</v>
      </c>
      <c r="Q278" s="90" t="s">
        <v>113051</v>
      </c>
      <c r="R278" s="91">
        <v>10500000</v>
      </c>
      <c r="S278" s="92"/>
      <c r="T278" s="93" t="s">
        <v>112999</v>
      </c>
      <c r="U278" s="275">
        <v>81924</v>
      </c>
      <c r="V278" s="276">
        <v>10500000</v>
      </c>
      <c r="W278" s="276">
        <f t="shared" si="25"/>
        <v>0</v>
      </c>
      <c r="X278" s="276">
        <f t="shared" si="24"/>
        <v>10500000</v>
      </c>
      <c r="Y278" s="340"/>
      <c r="Z278" s="432"/>
      <c r="AA278" s="443">
        <f t="shared" si="26"/>
        <v>10500000</v>
      </c>
    </row>
    <row r="279" spans="2:27" ht="52.5" customHeight="1" x14ac:dyDescent="0.25">
      <c r="B279" s="84"/>
      <c r="C279" s="85"/>
      <c r="D279" s="85"/>
      <c r="E279" s="85"/>
      <c r="F279" s="85"/>
      <c r="G279" s="85"/>
      <c r="H279" s="85"/>
      <c r="I279" s="85"/>
      <c r="J279" s="86"/>
      <c r="K279" s="86"/>
      <c r="L279" s="87">
        <v>72101500</v>
      </c>
      <c r="M279" s="88" t="s">
        <v>113476</v>
      </c>
      <c r="N279" s="89">
        <v>45548</v>
      </c>
      <c r="O279" s="89" t="s">
        <v>113074</v>
      </c>
      <c r="P279" s="90" t="s">
        <v>112997</v>
      </c>
      <c r="Q279" s="90" t="s">
        <v>113051</v>
      </c>
      <c r="R279" s="91">
        <v>33000000</v>
      </c>
      <c r="S279" s="92"/>
      <c r="T279" s="93" t="s">
        <v>112999</v>
      </c>
      <c r="U279" s="275">
        <v>81324</v>
      </c>
      <c r="V279" s="276">
        <v>33000000</v>
      </c>
      <c r="W279" s="276">
        <f t="shared" si="25"/>
        <v>0</v>
      </c>
      <c r="X279" s="276">
        <f t="shared" si="24"/>
        <v>33000000</v>
      </c>
      <c r="Y279" s="340"/>
      <c r="Z279" s="432"/>
      <c r="AA279" s="443">
        <f t="shared" si="26"/>
        <v>33000000</v>
      </c>
    </row>
    <row r="280" spans="2:27" ht="71.25" customHeight="1" x14ac:dyDescent="0.25">
      <c r="B280" s="84"/>
      <c r="C280" s="85"/>
      <c r="D280" s="85"/>
      <c r="E280" s="85"/>
      <c r="F280" s="85"/>
      <c r="G280" s="85"/>
      <c r="H280" s="85"/>
      <c r="I280" s="85"/>
      <c r="J280" s="86"/>
      <c r="K280" s="86" t="s">
        <v>112301</v>
      </c>
      <c r="L280" s="51">
        <v>72101500</v>
      </c>
      <c r="M280" s="97" t="s">
        <v>113121</v>
      </c>
      <c r="N280" s="89">
        <v>45301</v>
      </c>
      <c r="O280" s="89" t="s">
        <v>113164</v>
      </c>
      <c r="P280" s="90" t="s">
        <v>113169</v>
      </c>
      <c r="Q280" s="90" t="s">
        <v>113051</v>
      </c>
      <c r="R280" s="91">
        <f>302500000+5000000</f>
        <v>307500000</v>
      </c>
      <c r="S280" s="161"/>
      <c r="T280" s="93" t="s">
        <v>112999</v>
      </c>
      <c r="U280" s="275">
        <v>5724</v>
      </c>
      <c r="V280" s="276">
        <v>307500000</v>
      </c>
      <c r="W280" s="276">
        <f t="shared" si="25"/>
        <v>0</v>
      </c>
      <c r="X280" s="276">
        <f t="shared" si="24"/>
        <v>10000000</v>
      </c>
      <c r="Y280" s="340" t="s">
        <v>113409</v>
      </c>
      <c r="Z280" s="432">
        <v>297500000</v>
      </c>
      <c r="AA280" s="443">
        <f t="shared" si="26"/>
        <v>10000000</v>
      </c>
    </row>
    <row r="281" spans="2:27" ht="45" x14ac:dyDescent="0.25">
      <c r="B281" s="84"/>
      <c r="C281" s="85"/>
      <c r="D281" s="85"/>
      <c r="E281" s="85"/>
      <c r="F281" s="85"/>
      <c r="G281" s="85"/>
      <c r="H281" s="85"/>
      <c r="I281" s="85"/>
      <c r="J281" s="86"/>
      <c r="K281" s="86" t="s">
        <v>112301</v>
      </c>
      <c r="L281" s="51">
        <v>72101500</v>
      </c>
      <c r="M281" s="97" t="s">
        <v>113122</v>
      </c>
      <c r="N281" s="89">
        <v>45301</v>
      </c>
      <c r="O281" s="89" t="s">
        <v>113057</v>
      </c>
      <c r="P281" s="90" t="s">
        <v>113009</v>
      </c>
      <c r="Q281" s="90" t="s">
        <v>113051</v>
      </c>
      <c r="R281" s="91">
        <v>85800000</v>
      </c>
      <c r="S281" s="161"/>
      <c r="T281" s="93" t="s">
        <v>112999</v>
      </c>
      <c r="U281" s="275">
        <v>5824</v>
      </c>
      <c r="V281" s="276">
        <v>85800000</v>
      </c>
      <c r="W281" s="276">
        <f t="shared" si="25"/>
        <v>0</v>
      </c>
      <c r="X281" s="276">
        <f t="shared" si="24"/>
        <v>0</v>
      </c>
      <c r="Y281" s="340" t="s">
        <v>113412</v>
      </c>
      <c r="Z281" s="432">
        <v>85800000</v>
      </c>
      <c r="AA281" s="443">
        <f t="shared" si="26"/>
        <v>0</v>
      </c>
    </row>
    <row r="282" spans="2:27" ht="48.75" customHeight="1" x14ac:dyDescent="0.25">
      <c r="B282" s="84"/>
      <c r="C282" s="85"/>
      <c r="D282" s="85"/>
      <c r="E282" s="85"/>
      <c r="F282" s="85"/>
      <c r="G282" s="85"/>
      <c r="H282" s="85"/>
      <c r="I282" s="85"/>
      <c r="J282" s="86"/>
      <c r="K282" s="86" t="s">
        <v>112301</v>
      </c>
      <c r="L282" s="87">
        <v>72101500</v>
      </c>
      <c r="M282" s="97" t="s">
        <v>113123</v>
      </c>
      <c r="N282" s="89">
        <v>45301</v>
      </c>
      <c r="O282" s="89" t="s">
        <v>113057</v>
      </c>
      <c r="P282" s="90" t="s">
        <v>113009</v>
      </c>
      <c r="Q282" s="90" t="s">
        <v>113051</v>
      </c>
      <c r="R282" s="91">
        <f>1000000000-10500000-33000000-17000000-15000000-5000000</f>
        <v>919500000</v>
      </c>
      <c r="S282" s="161"/>
      <c r="T282" s="93" t="s">
        <v>112999</v>
      </c>
      <c r="U282" s="275">
        <v>14924</v>
      </c>
      <c r="V282" s="276">
        <v>1000000000</v>
      </c>
      <c r="W282" s="276">
        <f t="shared" si="25"/>
        <v>-80500000</v>
      </c>
      <c r="X282" s="276">
        <f t="shared" si="24"/>
        <v>103133331</v>
      </c>
      <c r="Y282" s="340" t="s">
        <v>113352</v>
      </c>
      <c r="Z282" s="432">
        <v>896866669</v>
      </c>
      <c r="AA282" s="443">
        <f t="shared" si="26"/>
        <v>22633331</v>
      </c>
    </row>
    <row r="283" spans="2:27" ht="54" customHeight="1" x14ac:dyDescent="0.25">
      <c r="B283" s="162" t="s">
        <v>105516</v>
      </c>
      <c r="C283" s="162" t="s">
        <v>105924</v>
      </c>
      <c r="D283" s="162" t="s">
        <v>105520</v>
      </c>
      <c r="E283" s="162" t="s">
        <v>105573</v>
      </c>
      <c r="F283" s="162" t="s">
        <v>105547</v>
      </c>
      <c r="G283" s="162"/>
      <c r="H283" s="162"/>
      <c r="I283" s="162"/>
      <c r="J283" s="162"/>
      <c r="K283" s="163"/>
      <c r="L283" s="61"/>
      <c r="M283" s="62" t="s">
        <v>113311</v>
      </c>
      <c r="N283" s="63"/>
      <c r="O283" s="164"/>
      <c r="P283" s="64"/>
      <c r="Q283" s="64"/>
      <c r="R283" s="65">
        <f>+R284</f>
        <v>3400000</v>
      </c>
      <c r="S283" s="66"/>
      <c r="T283" s="67"/>
      <c r="U283" s="63" t="s">
        <v>112994</v>
      </c>
      <c r="V283" s="376">
        <f t="shared" ref="V283:X284" si="27">+V284</f>
        <v>0</v>
      </c>
      <c r="W283" s="376">
        <f t="shared" si="25"/>
        <v>3400000</v>
      </c>
      <c r="X283" s="65">
        <f t="shared" si="27"/>
        <v>0</v>
      </c>
      <c r="Y283" s="333"/>
      <c r="Z283" s="402">
        <f>+Z284</f>
        <v>0</v>
      </c>
      <c r="AA283" s="65">
        <f t="shared" si="26"/>
        <v>3400000</v>
      </c>
    </row>
    <row r="284" spans="2:27" x14ac:dyDescent="0.25">
      <c r="B284" s="307" t="s">
        <v>105516</v>
      </c>
      <c r="C284" s="307" t="s">
        <v>105924</v>
      </c>
      <c r="D284" s="307" t="s">
        <v>105520</v>
      </c>
      <c r="E284" s="307" t="s">
        <v>105573</v>
      </c>
      <c r="F284" s="307" t="s">
        <v>105547</v>
      </c>
      <c r="G284" s="307" t="s">
        <v>105550</v>
      </c>
      <c r="H284" s="165"/>
      <c r="I284" s="165"/>
      <c r="J284" s="165"/>
      <c r="K284" s="166"/>
      <c r="L284" s="149"/>
      <c r="M284" s="150" t="s">
        <v>106841</v>
      </c>
      <c r="N284" s="151"/>
      <c r="O284" s="151"/>
      <c r="P284" s="152"/>
      <c r="Q284" s="152"/>
      <c r="R284" s="153">
        <f>+R285</f>
        <v>3400000</v>
      </c>
      <c r="S284" s="153"/>
      <c r="T284" s="153"/>
      <c r="U284" s="153"/>
      <c r="V284" s="384">
        <f t="shared" si="27"/>
        <v>0</v>
      </c>
      <c r="W284" s="384">
        <f t="shared" si="25"/>
        <v>3400000</v>
      </c>
      <c r="X284" s="153">
        <f t="shared" si="27"/>
        <v>0</v>
      </c>
      <c r="Y284" s="153"/>
      <c r="Z284" s="409">
        <f>+Z285</f>
        <v>0</v>
      </c>
      <c r="AA284" s="153">
        <f t="shared" si="26"/>
        <v>3400000</v>
      </c>
    </row>
    <row r="285" spans="2:27"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78">
        <f>+V286</f>
        <v>0</v>
      </c>
      <c r="W285" s="378">
        <f t="shared" si="25"/>
        <v>3400000</v>
      </c>
      <c r="X285" s="81">
        <f>+X286</f>
        <v>0</v>
      </c>
      <c r="Y285" s="335"/>
      <c r="Z285" s="404">
        <f>+Z286</f>
        <v>0</v>
      </c>
      <c r="AA285" s="81">
        <f t="shared" si="26"/>
        <v>3400000</v>
      </c>
    </row>
    <row r="286" spans="2:27" ht="30" x14ac:dyDescent="0.25">
      <c r="B286" s="84"/>
      <c r="C286" s="85"/>
      <c r="D286" s="85"/>
      <c r="E286" s="85"/>
      <c r="F286" s="85"/>
      <c r="G286" s="85"/>
      <c r="H286" s="85"/>
      <c r="I286" s="85"/>
      <c r="J286" s="86"/>
      <c r="K286" s="86" t="s">
        <v>112476</v>
      </c>
      <c r="L286" s="51">
        <v>78121600</v>
      </c>
      <c r="M286" s="97" t="s">
        <v>113124</v>
      </c>
      <c r="N286" s="89">
        <v>45301</v>
      </c>
      <c r="O286" s="89" t="s">
        <v>113164</v>
      </c>
      <c r="P286" s="90" t="s">
        <v>113009</v>
      </c>
      <c r="Q286" s="90" t="s">
        <v>113051</v>
      </c>
      <c r="R286" s="91">
        <f>25300000-1400000-20500000</f>
        <v>3400000</v>
      </c>
      <c r="S286" s="167"/>
      <c r="T286" s="93" t="s">
        <v>112999</v>
      </c>
      <c r="U286" s="277"/>
      <c r="V286" s="276"/>
      <c r="W286" s="276">
        <f t="shared" si="25"/>
        <v>3400000</v>
      </c>
      <c r="X286" s="276">
        <f>V286-Z286</f>
        <v>0</v>
      </c>
      <c r="Y286" s="340"/>
      <c r="Z286" s="437"/>
      <c r="AA286" s="443">
        <f t="shared" si="26"/>
        <v>3400000</v>
      </c>
    </row>
    <row r="287" spans="2:27" ht="30" x14ac:dyDescent="0.25">
      <c r="B287" s="59" t="s">
        <v>105516</v>
      </c>
      <c r="C287" s="59" t="s">
        <v>105924</v>
      </c>
      <c r="D287" s="59" t="s">
        <v>105520</v>
      </c>
      <c r="E287" s="59" t="s">
        <v>105573</v>
      </c>
      <c r="F287" s="59" t="s">
        <v>105550</v>
      </c>
      <c r="G287" s="59"/>
      <c r="H287" s="59"/>
      <c r="I287" s="59"/>
      <c r="J287" s="59"/>
      <c r="K287" s="60"/>
      <c r="L287" s="61"/>
      <c r="M287" s="62" t="s">
        <v>113308</v>
      </c>
      <c r="N287" s="63"/>
      <c r="O287" s="164"/>
      <c r="P287" s="64"/>
      <c r="Q287" s="64"/>
      <c r="R287" s="65">
        <f>+R288+R295</f>
        <v>964319487</v>
      </c>
      <c r="S287" s="66"/>
      <c r="T287" s="67"/>
      <c r="U287" s="63" t="s">
        <v>112994</v>
      </c>
      <c r="V287" s="376">
        <f>+V288+V295</f>
        <v>964284287</v>
      </c>
      <c r="W287" s="376">
        <f t="shared" si="25"/>
        <v>35200</v>
      </c>
      <c r="X287" s="65">
        <f>+X288+X295</f>
        <v>768447239</v>
      </c>
      <c r="Y287" s="333"/>
      <c r="Z287" s="402">
        <f>+Z288+Z295</f>
        <v>195837048</v>
      </c>
      <c r="AA287" s="65">
        <f t="shared" si="26"/>
        <v>768482439</v>
      </c>
    </row>
    <row r="288" spans="2:27" x14ac:dyDescent="0.25">
      <c r="B288" s="306" t="s">
        <v>105516</v>
      </c>
      <c r="C288" s="306" t="s">
        <v>105924</v>
      </c>
      <c r="D288" s="306" t="s">
        <v>105520</v>
      </c>
      <c r="E288" s="306" t="s">
        <v>105573</v>
      </c>
      <c r="F288" s="306" t="s">
        <v>105550</v>
      </c>
      <c r="G288" s="307" t="s">
        <v>105528</v>
      </c>
      <c r="H288" s="148"/>
      <c r="I288" s="148"/>
      <c r="J288" s="148"/>
      <c r="K288" s="149"/>
      <c r="L288" s="149"/>
      <c r="M288" s="150" t="s">
        <v>106867</v>
      </c>
      <c r="N288" s="151"/>
      <c r="O288" s="151"/>
      <c r="P288" s="152"/>
      <c r="Q288" s="152"/>
      <c r="R288" s="153">
        <f>R289</f>
        <v>816300287</v>
      </c>
      <c r="S288" s="153"/>
      <c r="T288" s="153"/>
      <c r="U288" s="153"/>
      <c r="V288" s="384">
        <f>V289</f>
        <v>816300287</v>
      </c>
      <c r="W288" s="384">
        <f t="shared" si="25"/>
        <v>0</v>
      </c>
      <c r="X288" s="153">
        <f>X289</f>
        <v>768447239</v>
      </c>
      <c r="Y288" s="153"/>
      <c r="Z288" s="409">
        <f>Z289</f>
        <v>47853048</v>
      </c>
      <c r="AA288" s="153">
        <f t="shared" si="26"/>
        <v>768447239</v>
      </c>
    </row>
    <row r="289" spans="2:27" ht="30" x14ac:dyDescent="0.25">
      <c r="B289" s="77" t="s">
        <v>105516</v>
      </c>
      <c r="C289" s="77" t="s">
        <v>105924</v>
      </c>
      <c r="D289" s="77" t="s">
        <v>105520</v>
      </c>
      <c r="E289" s="77" t="s">
        <v>105573</v>
      </c>
      <c r="F289" s="77" t="s">
        <v>105550</v>
      </c>
      <c r="G289" s="77" t="s">
        <v>105528</v>
      </c>
      <c r="H289" s="77" t="s">
        <v>105675</v>
      </c>
      <c r="I289" s="77"/>
      <c r="J289" s="77"/>
      <c r="K289" s="77"/>
      <c r="L289" s="76"/>
      <c r="M289" s="78" t="s">
        <v>113316</v>
      </c>
      <c r="N289" s="79"/>
      <c r="O289" s="79"/>
      <c r="P289" s="80"/>
      <c r="Q289" s="80"/>
      <c r="R289" s="81">
        <f>R290+R292</f>
        <v>816300287</v>
      </c>
      <c r="S289" s="82"/>
      <c r="T289" s="83"/>
      <c r="U289" s="79"/>
      <c r="V289" s="378">
        <f>V290+V292</f>
        <v>816300287</v>
      </c>
      <c r="W289" s="378">
        <f t="shared" si="25"/>
        <v>0</v>
      </c>
      <c r="X289" s="81">
        <f>X290+X292</f>
        <v>768447239</v>
      </c>
      <c r="Y289" s="335"/>
      <c r="Z289" s="404">
        <f>Z290+Z292</f>
        <v>47853048</v>
      </c>
      <c r="AA289" s="81">
        <f t="shared" si="26"/>
        <v>768447239</v>
      </c>
    </row>
    <row r="290" spans="2:27"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113321</v>
      </c>
      <c r="N290" s="79"/>
      <c r="O290" s="79"/>
      <c r="P290" s="80"/>
      <c r="Q290" s="80"/>
      <c r="R290" s="81">
        <f>+R291</f>
        <v>75000000</v>
      </c>
      <c r="S290" s="82"/>
      <c r="T290" s="83"/>
      <c r="U290" s="79"/>
      <c r="V290" s="378">
        <f>+V291</f>
        <v>75000000</v>
      </c>
      <c r="W290" s="378">
        <f t="shared" si="25"/>
        <v>0</v>
      </c>
      <c r="X290" s="81">
        <f>+X291</f>
        <v>27146952</v>
      </c>
      <c r="Y290" s="335"/>
      <c r="Z290" s="404">
        <f>+Z291</f>
        <v>47853048</v>
      </c>
      <c r="AA290" s="81">
        <f t="shared" si="26"/>
        <v>27146952</v>
      </c>
    </row>
    <row r="291" spans="2:27" ht="30" x14ac:dyDescent="0.25">
      <c r="B291" s="168"/>
      <c r="C291" s="169"/>
      <c r="D291" s="169"/>
      <c r="E291" s="169"/>
      <c r="F291" s="169"/>
      <c r="G291" s="169"/>
      <c r="H291" s="169"/>
      <c r="I291" s="169"/>
      <c r="J291" s="170"/>
      <c r="K291" s="86" t="s">
        <v>112489</v>
      </c>
      <c r="L291" s="51"/>
      <c r="M291" s="97" t="s">
        <v>113125</v>
      </c>
      <c r="N291" s="89" t="s">
        <v>113029</v>
      </c>
      <c r="O291" s="89" t="s">
        <v>113029</v>
      </c>
      <c r="P291" s="89" t="s">
        <v>113029</v>
      </c>
      <c r="Q291" s="89" t="s">
        <v>113029</v>
      </c>
      <c r="R291" s="91">
        <v>75000000</v>
      </c>
      <c r="S291" s="92"/>
      <c r="T291" s="93" t="s">
        <v>112999</v>
      </c>
      <c r="U291" s="275">
        <v>15224</v>
      </c>
      <c r="V291" s="276">
        <v>75000000</v>
      </c>
      <c r="W291" s="276">
        <f t="shared" si="25"/>
        <v>0</v>
      </c>
      <c r="X291" s="276">
        <f>V291-Z291</f>
        <v>27146952</v>
      </c>
      <c r="Y291" s="340" t="s">
        <v>113413</v>
      </c>
      <c r="Z291" s="432">
        <v>47853048</v>
      </c>
      <c r="AA291" s="443">
        <f t="shared" si="26"/>
        <v>27146952</v>
      </c>
    </row>
    <row r="292" spans="2:27"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741300287</v>
      </c>
      <c r="S292" s="82"/>
      <c r="T292" s="96"/>
      <c r="U292" s="79"/>
      <c r="V292" s="378">
        <f t="shared" ref="V292:X293" si="28">V293</f>
        <v>741300287</v>
      </c>
      <c r="W292" s="378">
        <f t="shared" si="25"/>
        <v>0</v>
      </c>
      <c r="X292" s="81">
        <f t="shared" si="28"/>
        <v>741300287</v>
      </c>
      <c r="Y292" s="335"/>
      <c r="Z292" s="404">
        <f>Z293</f>
        <v>0</v>
      </c>
      <c r="AA292" s="81">
        <f t="shared" si="26"/>
        <v>741300287</v>
      </c>
    </row>
    <row r="293" spans="2:27"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741300287</v>
      </c>
      <c r="S293" s="82"/>
      <c r="T293" s="96"/>
      <c r="U293" s="79"/>
      <c r="V293" s="378">
        <f t="shared" si="28"/>
        <v>741300287</v>
      </c>
      <c r="W293" s="378">
        <f t="shared" si="25"/>
        <v>0</v>
      </c>
      <c r="X293" s="81">
        <f t="shared" si="28"/>
        <v>741300287</v>
      </c>
      <c r="Y293" s="335"/>
      <c r="Z293" s="404">
        <f>Z294</f>
        <v>0</v>
      </c>
      <c r="AA293" s="81">
        <f t="shared" si="26"/>
        <v>741300287</v>
      </c>
    </row>
    <row r="294" spans="2:27" ht="30" x14ac:dyDescent="0.25">
      <c r="B294" s="84"/>
      <c r="C294" s="85"/>
      <c r="D294" s="85"/>
      <c r="E294" s="85"/>
      <c r="F294" s="85"/>
      <c r="G294" s="85"/>
      <c r="H294" s="85"/>
      <c r="I294" s="85"/>
      <c r="J294" s="86"/>
      <c r="K294" s="85" t="s">
        <v>106866</v>
      </c>
      <c r="L294" s="179" t="s">
        <v>113064</v>
      </c>
      <c r="M294" s="97" t="s">
        <v>106900</v>
      </c>
      <c r="N294" s="114">
        <v>45536</v>
      </c>
      <c r="O294" s="89" t="s">
        <v>113074</v>
      </c>
      <c r="P294" s="121" t="s">
        <v>113043</v>
      </c>
      <c r="Q294" s="121" t="s">
        <v>113066</v>
      </c>
      <c r="R294" s="91">
        <f>711300287+30000000</f>
        <v>741300287</v>
      </c>
      <c r="S294" s="91"/>
      <c r="T294" s="93" t="s">
        <v>112999</v>
      </c>
      <c r="U294" s="275">
        <v>81624</v>
      </c>
      <c r="V294" s="276">
        <v>741300287</v>
      </c>
      <c r="W294" s="276">
        <f t="shared" si="25"/>
        <v>0</v>
      </c>
      <c r="X294" s="276">
        <f>V294-Z294</f>
        <v>741300287</v>
      </c>
      <c r="Y294" s="340"/>
      <c r="Z294" s="432"/>
      <c r="AA294" s="443">
        <f t="shared" si="26"/>
        <v>741300287</v>
      </c>
    </row>
    <row r="295" spans="2:27" x14ac:dyDescent="0.25">
      <c r="B295" s="306" t="s">
        <v>105516</v>
      </c>
      <c r="C295" s="306" t="s">
        <v>105924</v>
      </c>
      <c r="D295" s="306" t="s">
        <v>105520</v>
      </c>
      <c r="E295" s="306" t="s">
        <v>105573</v>
      </c>
      <c r="F295" s="306" t="s">
        <v>105550</v>
      </c>
      <c r="G295" s="306" t="s">
        <v>105535</v>
      </c>
      <c r="H295" s="148"/>
      <c r="I295" s="148"/>
      <c r="J295" s="148"/>
      <c r="K295" s="149"/>
      <c r="L295" s="149"/>
      <c r="M295" s="150" t="s">
        <v>106948</v>
      </c>
      <c r="N295" s="151"/>
      <c r="O295" s="151"/>
      <c r="P295" s="152"/>
      <c r="Q295" s="152"/>
      <c r="R295" s="153">
        <f>+R296</f>
        <v>148019200</v>
      </c>
      <c r="S295" s="153"/>
      <c r="T295" s="153"/>
      <c r="U295" s="153"/>
      <c r="V295" s="384">
        <f>+V296</f>
        <v>147984000</v>
      </c>
      <c r="W295" s="384">
        <f t="shared" si="25"/>
        <v>35200</v>
      </c>
      <c r="X295" s="153">
        <f>+X296</f>
        <v>0</v>
      </c>
      <c r="Y295" s="153"/>
      <c r="Z295" s="409">
        <f>+Z296</f>
        <v>147984000</v>
      </c>
      <c r="AA295" s="153">
        <f t="shared" si="26"/>
        <v>35200</v>
      </c>
    </row>
    <row r="296" spans="2:27"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148019200</v>
      </c>
      <c r="S296" s="82"/>
      <c r="T296" s="96"/>
      <c r="U296" s="79"/>
      <c r="V296" s="378">
        <f t="shared" ref="V296:X297" si="29">+V297</f>
        <v>147984000</v>
      </c>
      <c r="W296" s="378">
        <f t="shared" si="25"/>
        <v>35200</v>
      </c>
      <c r="X296" s="81">
        <f t="shared" si="29"/>
        <v>0</v>
      </c>
      <c r="Y296" s="335"/>
      <c r="Z296" s="404">
        <f>+Z297</f>
        <v>147984000</v>
      </c>
      <c r="AA296" s="81">
        <f t="shared" si="26"/>
        <v>35200</v>
      </c>
    </row>
    <row r="297" spans="2:27"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148019200</v>
      </c>
      <c r="S297" s="82"/>
      <c r="T297" s="96"/>
      <c r="U297" s="79"/>
      <c r="V297" s="378">
        <f t="shared" si="29"/>
        <v>147984000</v>
      </c>
      <c r="W297" s="378">
        <f t="shared" si="25"/>
        <v>35200</v>
      </c>
      <c r="X297" s="81">
        <f t="shared" si="29"/>
        <v>0</v>
      </c>
      <c r="Y297" s="335"/>
      <c r="Z297" s="404">
        <f>+Z298</f>
        <v>147984000</v>
      </c>
      <c r="AA297" s="81">
        <f t="shared" si="26"/>
        <v>35200</v>
      </c>
    </row>
    <row r="298" spans="2:27" ht="20.25" customHeight="1" x14ac:dyDescent="0.25">
      <c r="B298" s="168"/>
      <c r="C298" s="169"/>
      <c r="D298" s="169"/>
      <c r="E298" s="169"/>
      <c r="F298" s="169"/>
      <c r="G298" s="169"/>
      <c r="H298" s="169"/>
      <c r="I298" s="169"/>
      <c r="J298" s="170"/>
      <c r="K298" s="86" t="s">
        <v>112528</v>
      </c>
      <c r="L298" s="51"/>
      <c r="M298" s="88" t="s">
        <v>113126</v>
      </c>
      <c r="N298" s="89">
        <v>45293</v>
      </c>
      <c r="O298" s="89" t="s">
        <v>113057</v>
      </c>
      <c r="P298" s="121" t="s">
        <v>113065</v>
      </c>
      <c r="Q298" s="89" t="s">
        <v>113029</v>
      </c>
      <c r="R298" s="91">
        <f>122931200+1400000+12240000+11448000</f>
        <v>148019200</v>
      </c>
      <c r="S298" s="92"/>
      <c r="T298" s="93" t="s">
        <v>113061</v>
      </c>
      <c r="U298" s="278" t="s">
        <v>113446</v>
      </c>
      <c r="V298" s="360">
        <v>147984000</v>
      </c>
      <c r="W298" s="360">
        <f t="shared" si="25"/>
        <v>35200</v>
      </c>
      <c r="X298" s="276">
        <f>V298-Z298</f>
        <v>0</v>
      </c>
      <c r="Y298" s="340" t="s">
        <v>113414</v>
      </c>
      <c r="Z298" s="436">
        <v>147984000</v>
      </c>
      <c r="AA298" s="443">
        <f t="shared" si="26"/>
        <v>35200</v>
      </c>
    </row>
    <row r="299" spans="2:27"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2616343740</v>
      </c>
      <c r="S299" s="66"/>
      <c r="T299" s="67"/>
      <c r="U299" s="63" t="s">
        <v>112994</v>
      </c>
      <c r="V299" s="376">
        <f>+V300+V311+V327</f>
        <v>2549660227.2600002</v>
      </c>
      <c r="W299" s="376">
        <f t="shared" si="25"/>
        <v>66683512.739999771</v>
      </c>
      <c r="X299" s="65">
        <f>+X300+X311+X327</f>
        <v>537981767.21000004</v>
      </c>
      <c r="Y299" s="333"/>
      <c r="Z299" s="402">
        <f>+Z300+Z311+Z327</f>
        <v>2011678460.05</v>
      </c>
      <c r="AA299" s="65">
        <f t="shared" si="26"/>
        <v>604665279.95000005</v>
      </c>
    </row>
    <row r="300" spans="2:27" ht="45" x14ac:dyDescent="0.25">
      <c r="B300" s="306" t="s">
        <v>105516</v>
      </c>
      <c r="C300" s="306" t="s">
        <v>105924</v>
      </c>
      <c r="D300" s="306" t="s">
        <v>105520</v>
      </c>
      <c r="E300" s="306" t="s">
        <v>105573</v>
      </c>
      <c r="F300" s="306" t="s">
        <v>105553</v>
      </c>
      <c r="G300" s="306" t="s">
        <v>105538</v>
      </c>
      <c r="H300" s="148"/>
      <c r="I300" s="148"/>
      <c r="J300" s="148"/>
      <c r="K300" s="149"/>
      <c r="L300" s="149"/>
      <c r="M300" s="150" t="s">
        <v>113312</v>
      </c>
      <c r="N300" s="151"/>
      <c r="O300" s="151"/>
      <c r="P300" s="152"/>
      <c r="Q300" s="152"/>
      <c r="R300" s="153">
        <f>+R301</f>
        <v>148300000</v>
      </c>
      <c r="S300" s="153"/>
      <c r="T300" s="153"/>
      <c r="U300" s="153"/>
      <c r="V300" s="384">
        <f>+V301</f>
        <v>145933333.32999998</v>
      </c>
      <c r="W300" s="384">
        <f t="shared" si="25"/>
        <v>2366666.6700000167</v>
      </c>
      <c r="X300" s="153">
        <f>+X301</f>
        <v>8533334</v>
      </c>
      <c r="Y300" s="153"/>
      <c r="Z300" s="409">
        <f>+Z301</f>
        <v>137399999.32999998</v>
      </c>
      <c r="AA300" s="153">
        <f t="shared" si="26"/>
        <v>10900000.670000017</v>
      </c>
    </row>
    <row r="301" spans="2:27"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78">
        <f>+V302</f>
        <v>145933333.32999998</v>
      </c>
      <c r="W301" s="378">
        <f t="shared" si="25"/>
        <v>2366666.6700000167</v>
      </c>
      <c r="X301" s="81">
        <f>+X302</f>
        <v>8533334</v>
      </c>
      <c r="Y301" s="335"/>
      <c r="Z301" s="404">
        <f>+Z302</f>
        <v>137399999.32999998</v>
      </c>
      <c r="AA301" s="81">
        <f t="shared" si="26"/>
        <v>10900000.670000017</v>
      </c>
    </row>
    <row r="302" spans="2:27"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78">
        <f>SUM(V303:V310)</f>
        <v>145933333.32999998</v>
      </c>
      <c r="W302" s="378">
        <f t="shared" si="25"/>
        <v>2366666.6700000167</v>
      </c>
      <c r="X302" s="81">
        <f>SUM(X303:X310)</f>
        <v>8533334</v>
      </c>
      <c r="Y302" s="335"/>
      <c r="Z302" s="404">
        <f>SUM(Z303:Z310)</f>
        <v>137399999.32999998</v>
      </c>
      <c r="AA302" s="81">
        <f t="shared" si="26"/>
        <v>10900000.670000017</v>
      </c>
    </row>
    <row r="303" spans="2:27" ht="60" x14ac:dyDescent="0.25">
      <c r="B303" s="84"/>
      <c r="C303" s="85"/>
      <c r="D303" s="85"/>
      <c r="E303" s="85"/>
      <c r="F303" s="85"/>
      <c r="G303" s="85"/>
      <c r="H303" s="85"/>
      <c r="I303" s="85"/>
      <c r="J303" s="86"/>
      <c r="K303" s="86" t="s">
        <v>112567</v>
      </c>
      <c r="L303" s="87" t="s">
        <v>113210</v>
      </c>
      <c r="M303" s="97" t="s">
        <v>113211</v>
      </c>
      <c r="N303" s="89">
        <v>45536</v>
      </c>
      <c r="O303" s="89" t="s">
        <v>113074</v>
      </c>
      <c r="P303" s="90" t="s">
        <v>113005</v>
      </c>
      <c r="Q303" s="90" t="s">
        <v>113102</v>
      </c>
      <c r="R303" s="91">
        <f>35000000-35000000</f>
        <v>0</v>
      </c>
      <c r="S303" s="92"/>
      <c r="T303" s="93" t="s">
        <v>113017</v>
      </c>
      <c r="U303" s="356"/>
      <c r="V303" s="276"/>
      <c r="W303" s="276">
        <f t="shared" si="25"/>
        <v>0</v>
      </c>
      <c r="X303" s="276">
        <f t="shared" ref="X303:X309" si="30">V303-Z303</f>
        <v>0</v>
      </c>
      <c r="Y303" s="340"/>
      <c r="Z303" s="432"/>
      <c r="AA303" s="443">
        <f t="shared" si="26"/>
        <v>0</v>
      </c>
    </row>
    <row r="304" spans="2:27" ht="75" x14ac:dyDescent="0.25">
      <c r="B304" s="124"/>
      <c r="C304" s="125"/>
      <c r="D304" s="125"/>
      <c r="E304" s="125"/>
      <c r="F304" s="125"/>
      <c r="G304" s="125"/>
      <c r="H304" s="125"/>
      <c r="I304" s="125"/>
      <c r="J304" s="126"/>
      <c r="K304" s="126" t="s">
        <v>112567</v>
      </c>
      <c r="L304" s="87">
        <v>80101500</v>
      </c>
      <c r="M304" s="88" t="s">
        <v>113128</v>
      </c>
      <c r="N304" s="89">
        <v>45323</v>
      </c>
      <c r="O304" s="89" t="s">
        <v>113035</v>
      </c>
      <c r="P304" s="90" t="s">
        <v>113009</v>
      </c>
      <c r="Q304" s="121" t="s">
        <v>113068</v>
      </c>
      <c r="R304" s="91">
        <v>35200000</v>
      </c>
      <c r="S304" s="92"/>
      <c r="T304" s="93" t="s">
        <v>113017</v>
      </c>
      <c r="U304" s="275">
        <v>14124</v>
      </c>
      <c r="V304" s="276">
        <v>35200000</v>
      </c>
      <c r="W304" s="276">
        <f t="shared" si="25"/>
        <v>0</v>
      </c>
      <c r="X304" s="276">
        <f t="shared" si="30"/>
        <v>4266667</v>
      </c>
      <c r="Y304" s="354" t="s">
        <v>113456</v>
      </c>
      <c r="Z304" s="432">
        <f>16000000+14933333</f>
        <v>30933333</v>
      </c>
      <c r="AA304" s="443">
        <f t="shared" si="26"/>
        <v>4266667</v>
      </c>
    </row>
    <row r="305" spans="1:27" ht="45" x14ac:dyDescent="0.25">
      <c r="B305" s="124"/>
      <c r="C305" s="125"/>
      <c r="D305" s="125"/>
      <c r="E305" s="125"/>
      <c r="F305" s="125"/>
      <c r="G305" s="125"/>
      <c r="H305" s="125"/>
      <c r="I305" s="125"/>
      <c r="J305" s="126"/>
      <c r="K305" s="126"/>
      <c r="L305" s="87">
        <v>80161500</v>
      </c>
      <c r="M305" s="88" t="s">
        <v>113295</v>
      </c>
      <c r="N305" s="89">
        <v>45384</v>
      </c>
      <c r="O305" s="89" t="s">
        <v>113004</v>
      </c>
      <c r="P305" s="90" t="s">
        <v>113133</v>
      </c>
      <c r="Q305" s="121" t="s">
        <v>113051</v>
      </c>
      <c r="R305" s="91">
        <f>20500000-20500000</f>
        <v>0</v>
      </c>
      <c r="S305" s="92"/>
      <c r="T305" s="93" t="s">
        <v>113052</v>
      </c>
      <c r="U305" s="275">
        <v>35724</v>
      </c>
      <c r="V305" s="276">
        <v>0</v>
      </c>
      <c r="W305" s="276">
        <f t="shared" si="25"/>
        <v>0</v>
      </c>
      <c r="X305" s="276">
        <f t="shared" si="30"/>
        <v>0</v>
      </c>
      <c r="Y305" s="340"/>
      <c r="Z305" s="432"/>
      <c r="AA305" s="443">
        <f t="shared" si="26"/>
        <v>0</v>
      </c>
    </row>
    <row r="306" spans="1:27" ht="93.75" customHeight="1" x14ac:dyDescent="0.25">
      <c r="B306" s="124"/>
      <c r="C306" s="125"/>
      <c r="D306" s="125"/>
      <c r="E306" s="125"/>
      <c r="F306" s="125"/>
      <c r="G306" s="125"/>
      <c r="H306" s="125"/>
      <c r="I306" s="125"/>
      <c r="J306" s="126"/>
      <c r="K306" s="126"/>
      <c r="L306" s="87">
        <v>80161500</v>
      </c>
      <c r="M306" s="88" t="s">
        <v>113330</v>
      </c>
      <c r="N306" s="89">
        <v>45447</v>
      </c>
      <c r="O306" s="89" t="s">
        <v>113167</v>
      </c>
      <c r="P306" s="90" t="s">
        <v>113001</v>
      </c>
      <c r="Q306" s="90" t="s">
        <v>113068</v>
      </c>
      <c r="R306" s="91">
        <v>20500000</v>
      </c>
      <c r="S306" s="92"/>
      <c r="T306" s="93" t="s">
        <v>113027</v>
      </c>
      <c r="U306" s="275">
        <v>63624</v>
      </c>
      <c r="V306" s="276">
        <v>18133333.329999998</v>
      </c>
      <c r="W306" s="276">
        <f t="shared" si="25"/>
        <v>2366666.6700000018</v>
      </c>
      <c r="X306" s="276">
        <f t="shared" si="30"/>
        <v>0</v>
      </c>
      <c r="Y306" s="340" t="s">
        <v>113416</v>
      </c>
      <c r="Z306" s="432">
        <v>18133333.329999998</v>
      </c>
      <c r="AA306" s="443">
        <f t="shared" si="26"/>
        <v>2366666.6700000018</v>
      </c>
    </row>
    <row r="307" spans="1:27" ht="66.75" customHeight="1" x14ac:dyDescent="0.25">
      <c r="B307" s="124"/>
      <c r="C307" s="125"/>
      <c r="D307" s="125"/>
      <c r="E307" s="125"/>
      <c r="F307" s="125"/>
      <c r="G307" s="125"/>
      <c r="H307" s="125"/>
      <c r="I307" s="125"/>
      <c r="J307" s="126"/>
      <c r="K307" s="126" t="s">
        <v>112567</v>
      </c>
      <c r="L307" s="51">
        <v>80101500</v>
      </c>
      <c r="M307" s="97" t="s">
        <v>113129</v>
      </c>
      <c r="N307" s="89">
        <v>45323</v>
      </c>
      <c r="O307" s="89" t="s">
        <v>113035</v>
      </c>
      <c r="P307" s="90" t="s">
        <v>113009</v>
      </c>
      <c r="Q307" s="90" t="s">
        <v>113068</v>
      </c>
      <c r="R307" s="91">
        <v>35200000</v>
      </c>
      <c r="S307" s="92"/>
      <c r="T307" s="93" t="s">
        <v>113017</v>
      </c>
      <c r="U307" s="275">
        <v>14624</v>
      </c>
      <c r="V307" s="276">
        <v>35200000</v>
      </c>
      <c r="W307" s="276">
        <f t="shared" si="25"/>
        <v>0</v>
      </c>
      <c r="X307" s="276">
        <f t="shared" si="30"/>
        <v>4266667</v>
      </c>
      <c r="Y307" s="354" t="s">
        <v>113452</v>
      </c>
      <c r="Z307" s="432">
        <f>16000000+14933333</f>
        <v>30933333</v>
      </c>
      <c r="AA307" s="443">
        <f t="shared" si="26"/>
        <v>4266667</v>
      </c>
    </row>
    <row r="308" spans="1:27" ht="45" x14ac:dyDescent="0.25">
      <c r="B308" s="124"/>
      <c r="C308" s="125"/>
      <c r="D308" s="125"/>
      <c r="E308" s="125"/>
      <c r="F308" s="125"/>
      <c r="G308" s="125"/>
      <c r="H308" s="125"/>
      <c r="I308" s="125"/>
      <c r="J308" s="126"/>
      <c r="K308" s="126" t="s">
        <v>112567</v>
      </c>
      <c r="L308" s="51">
        <v>80101500</v>
      </c>
      <c r="M308" s="97" t="s">
        <v>113212</v>
      </c>
      <c r="N308" s="89">
        <v>45323</v>
      </c>
      <c r="O308" s="89" t="s">
        <v>113035</v>
      </c>
      <c r="P308" s="90" t="s">
        <v>113009</v>
      </c>
      <c r="Q308" s="90" t="s">
        <v>113068</v>
      </c>
      <c r="R308" s="91">
        <v>0</v>
      </c>
      <c r="S308" s="92"/>
      <c r="T308" s="93" t="s">
        <v>113017</v>
      </c>
      <c r="U308" s="277"/>
      <c r="V308" s="276"/>
      <c r="W308" s="276">
        <f t="shared" si="25"/>
        <v>0</v>
      </c>
      <c r="X308" s="276">
        <f t="shared" si="30"/>
        <v>0</v>
      </c>
      <c r="Y308" s="340"/>
      <c r="Z308" s="432"/>
      <c r="AA308" s="443">
        <f t="shared" si="26"/>
        <v>0</v>
      </c>
    </row>
    <row r="309" spans="1:27" ht="30" x14ac:dyDescent="0.25">
      <c r="A309" s="14"/>
      <c r="B309" s="171"/>
      <c r="C309" s="172"/>
      <c r="D309" s="172"/>
      <c r="E309" s="172"/>
      <c r="F309" s="172"/>
      <c r="G309" s="172"/>
      <c r="H309" s="172"/>
      <c r="I309" s="172"/>
      <c r="J309" s="173"/>
      <c r="K309" s="173" t="s">
        <v>112567</v>
      </c>
      <c r="L309" s="156">
        <v>80161500</v>
      </c>
      <c r="M309" s="97" t="s">
        <v>113127</v>
      </c>
      <c r="N309" s="89">
        <v>45301</v>
      </c>
      <c r="O309" s="89" t="s">
        <v>113057</v>
      </c>
      <c r="P309" s="90" t="s">
        <v>113161</v>
      </c>
      <c r="Q309" s="90" t="s">
        <v>113051</v>
      </c>
      <c r="R309" s="91">
        <v>45100000</v>
      </c>
      <c r="S309" s="174"/>
      <c r="T309" s="175" t="s">
        <v>112999</v>
      </c>
      <c r="U309" s="282">
        <v>3124</v>
      </c>
      <c r="V309" s="283">
        <v>45100000</v>
      </c>
      <c r="W309" s="283">
        <f t="shared" si="25"/>
        <v>0</v>
      </c>
      <c r="X309" s="276">
        <f t="shared" si="30"/>
        <v>0</v>
      </c>
      <c r="Y309" s="346" t="s">
        <v>113415</v>
      </c>
      <c r="Z309" s="438">
        <v>45100000</v>
      </c>
      <c r="AA309" s="443">
        <f t="shared" si="26"/>
        <v>0</v>
      </c>
    </row>
    <row r="310" spans="1:27" ht="91.5" customHeight="1" x14ac:dyDescent="0.25">
      <c r="B310" s="84"/>
      <c r="C310" s="85"/>
      <c r="D310" s="85"/>
      <c r="E310" s="85"/>
      <c r="F310" s="85"/>
      <c r="G310" s="85"/>
      <c r="H310" s="85"/>
      <c r="I310" s="85"/>
      <c r="J310" s="86"/>
      <c r="K310" s="86" t="s">
        <v>106997</v>
      </c>
      <c r="L310" s="51">
        <v>80101500</v>
      </c>
      <c r="M310" s="97" t="s">
        <v>113479</v>
      </c>
      <c r="N310" s="89">
        <v>45541</v>
      </c>
      <c r="O310" s="89" t="s">
        <v>113074</v>
      </c>
      <c r="P310" s="90" t="s">
        <v>112997</v>
      </c>
      <c r="Q310" s="90" t="s">
        <v>113051</v>
      </c>
      <c r="R310" s="91">
        <v>12300000</v>
      </c>
      <c r="S310" s="92"/>
      <c r="T310" s="88" t="s">
        <v>112999</v>
      </c>
      <c r="U310" s="275">
        <v>85324</v>
      </c>
      <c r="V310" s="276">
        <v>12300000</v>
      </c>
      <c r="W310" s="276">
        <f t="shared" si="25"/>
        <v>0</v>
      </c>
      <c r="X310" s="276">
        <f>V310-Z310</f>
        <v>0</v>
      </c>
      <c r="Y310" s="340" t="s">
        <v>113506</v>
      </c>
      <c r="Z310" s="432">
        <v>12300000</v>
      </c>
      <c r="AA310" s="443">
        <f t="shared" si="26"/>
        <v>0</v>
      </c>
    </row>
    <row r="311" spans="1:27" x14ac:dyDescent="0.25">
      <c r="B311" s="306" t="s">
        <v>105516</v>
      </c>
      <c r="C311" s="306" t="s">
        <v>105924</v>
      </c>
      <c r="D311" s="306" t="s">
        <v>105520</v>
      </c>
      <c r="E311" s="306" t="s">
        <v>105573</v>
      </c>
      <c r="F311" s="306" t="s">
        <v>105553</v>
      </c>
      <c r="G311" s="306" t="s">
        <v>105544</v>
      </c>
      <c r="H311" s="148"/>
      <c r="I311" s="148"/>
      <c r="J311" s="148"/>
      <c r="K311" s="149"/>
      <c r="L311" s="149"/>
      <c r="M311" s="150" t="s">
        <v>107054</v>
      </c>
      <c r="N311" s="151"/>
      <c r="O311" s="151"/>
      <c r="P311" s="152"/>
      <c r="Q311" s="152"/>
      <c r="R311" s="153">
        <f>SUM(R312+R316)</f>
        <v>2443034940</v>
      </c>
      <c r="S311" s="153"/>
      <c r="T311" s="153"/>
      <c r="U311" s="153"/>
      <c r="V311" s="384">
        <f>SUM(V312+V316)</f>
        <v>2380216348.9200001</v>
      </c>
      <c r="W311" s="384">
        <f t="shared" si="25"/>
        <v>62818591.079999924</v>
      </c>
      <c r="X311" s="153">
        <f>SUM(X312+X316)</f>
        <v>529448433.21000004</v>
      </c>
      <c r="Y311" s="153"/>
      <c r="Z311" s="409">
        <f>SUM(Z312+Z316)</f>
        <v>1850767915.71</v>
      </c>
      <c r="AA311" s="153">
        <f t="shared" si="26"/>
        <v>592267024.28999996</v>
      </c>
    </row>
    <row r="312" spans="1:27" x14ac:dyDescent="0.25">
      <c r="B312" s="76" t="s">
        <v>105516</v>
      </c>
      <c r="C312" s="76" t="s">
        <v>105924</v>
      </c>
      <c r="D312" s="76" t="s">
        <v>105520</v>
      </c>
      <c r="E312" s="76" t="s">
        <v>105573</v>
      </c>
      <c r="F312" s="76" t="s">
        <v>105553</v>
      </c>
      <c r="G312" s="76" t="s">
        <v>105544</v>
      </c>
      <c r="H312" s="76" t="s">
        <v>105573</v>
      </c>
      <c r="I312" s="76"/>
      <c r="J312" s="76"/>
      <c r="K312" s="76"/>
      <c r="L312" s="76"/>
      <c r="M312" s="78" t="s">
        <v>113130</v>
      </c>
      <c r="N312" s="79"/>
      <c r="O312" s="79"/>
      <c r="P312" s="80"/>
      <c r="Q312" s="80"/>
      <c r="R312" s="81">
        <f>SUM(R313:R315)</f>
        <v>330912042.60000002</v>
      </c>
      <c r="S312" s="82"/>
      <c r="T312" s="96"/>
      <c r="U312" s="79"/>
      <c r="V312" s="378">
        <f>SUM(V313:V315)</f>
        <v>312420460</v>
      </c>
      <c r="W312" s="378">
        <f t="shared" si="25"/>
        <v>18491582.600000024</v>
      </c>
      <c r="X312" s="81">
        <f>SUM(X313:X315)</f>
        <v>58420114</v>
      </c>
      <c r="Y312" s="335"/>
      <c r="Z312" s="404">
        <f>SUM(Z313:Z315)</f>
        <v>254000346</v>
      </c>
      <c r="AA312" s="81">
        <f t="shared" si="26"/>
        <v>76911696.600000024</v>
      </c>
    </row>
    <row r="313" spans="1:27" ht="45" x14ac:dyDescent="0.25">
      <c r="B313" s="84"/>
      <c r="C313" s="85"/>
      <c r="D313" s="85"/>
      <c r="E313" s="85"/>
      <c r="F313" s="85"/>
      <c r="G313" s="85"/>
      <c r="H313" s="85"/>
      <c r="I313" s="85"/>
      <c r="J313" s="86"/>
      <c r="K313" s="86"/>
      <c r="L313" s="176">
        <v>92121500</v>
      </c>
      <c r="M313" s="88" t="s">
        <v>113223</v>
      </c>
      <c r="N313" s="89">
        <v>45397</v>
      </c>
      <c r="O313" s="89" t="s">
        <v>113082</v>
      </c>
      <c r="P313" s="90" t="s">
        <v>113065</v>
      </c>
      <c r="Q313" s="90" t="s">
        <v>113089</v>
      </c>
      <c r="R313" s="91">
        <f>166380000-52316520</f>
        <v>114063480</v>
      </c>
      <c r="S313" s="265">
        <v>164940000</v>
      </c>
      <c r="T313" s="160" t="s">
        <v>112999</v>
      </c>
      <c r="U313" s="275">
        <v>27624</v>
      </c>
      <c r="V313" s="276">
        <v>104518586</v>
      </c>
      <c r="W313" s="276">
        <f t="shared" si="25"/>
        <v>9544894</v>
      </c>
      <c r="X313" s="276">
        <f>V313-Z313</f>
        <v>6103594</v>
      </c>
      <c r="Y313" s="340" t="s">
        <v>113422</v>
      </c>
      <c r="Z313" s="432">
        <f>78360326+20054666</f>
        <v>98414992</v>
      </c>
      <c r="AA313" s="443">
        <f t="shared" si="26"/>
        <v>15648488</v>
      </c>
    </row>
    <row r="314" spans="1:27" ht="77.25" customHeight="1" x14ac:dyDescent="0.25">
      <c r="B314" s="84"/>
      <c r="C314" s="85"/>
      <c r="D314" s="85"/>
      <c r="E314" s="85"/>
      <c r="F314" s="85"/>
      <c r="G314" s="85"/>
      <c r="H314" s="85"/>
      <c r="I314" s="85"/>
      <c r="J314" s="86"/>
      <c r="K314" s="86"/>
      <c r="L314" s="87">
        <v>92121500</v>
      </c>
      <c r="M314" s="88" t="s">
        <v>113470</v>
      </c>
      <c r="N314" s="89">
        <v>45544</v>
      </c>
      <c r="O314" s="89" t="s">
        <v>113074</v>
      </c>
      <c r="P314" s="90" t="s">
        <v>113468</v>
      </c>
      <c r="Q314" s="90" t="s">
        <v>113471</v>
      </c>
      <c r="R314" s="91">
        <v>52316520</v>
      </c>
      <c r="S314" s="92"/>
      <c r="T314" s="93" t="s">
        <v>112999</v>
      </c>
      <c r="U314" s="275">
        <v>81624</v>
      </c>
      <c r="V314" s="276">
        <v>52316520</v>
      </c>
      <c r="W314" s="276">
        <f t="shared" si="25"/>
        <v>0</v>
      </c>
      <c r="X314" s="276">
        <f>V314-Z314</f>
        <v>52316520</v>
      </c>
      <c r="Y314" s="340"/>
      <c r="Z314" s="432"/>
      <c r="AA314" s="443">
        <f t="shared" si="26"/>
        <v>52316520</v>
      </c>
    </row>
    <row r="315" spans="1:27" ht="45" x14ac:dyDescent="0.25">
      <c r="B315" s="124"/>
      <c r="C315" s="125"/>
      <c r="D315" s="125"/>
      <c r="E315" s="125"/>
      <c r="F315" s="125"/>
      <c r="G315" s="125"/>
      <c r="H315" s="125"/>
      <c r="I315" s="125"/>
      <c r="J315" s="126"/>
      <c r="K315" s="126"/>
      <c r="L315" s="176">
        <v>92121500</v>
      </c>
      <c r="M315" s="120" t="s">
        <v>113243</v>
      </c>
      <c r="N315" s="89"/>
      <c r="O315" s="89"/>
      <c r="P315" s="121"/>
      <c r="Q315" s="90"/>
      <c r="R315" s="91">
        <v>164532042.59999999</v>
      </c>
      <c r="S315" s="178"/>
      <c r="T315" s="93" t="s">
        <v>112999</v>
      </c>
      <c r="U315" s="275">
        <v>824</v>
      </c>
      <c r="V315" s="276">
        <v>155585354</v>
      </c>
      <c r="W315" s="276">
        <f t="shared" si="25"/>
        <v>8946688.599999994</v>
      </c>
      <c r="X315" s="276">
        <f>V315-Z315</f>
        <v>0</v>
      </c>
      <c r="Y315" s="340" t="s">
        <v>113419</v>
      </c>
      <c r="Z315" s="432">
        <v>155585354</v>
      </c>
      <c r="AA315" s="443">
        <f t="shared" si="26"/>
        <v>8946688.599999994</v>
      </c>
    </row>
    <row r="316" spans="1:27"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78">
        <f>SUM(V317:V326)</f>
        <v>2067795888.9200001</v>
      </c>
      <c r="W316" s="378">
        <f t="shared" si="25"/>
        <v>44327008.480000019</v>
      </c>
      <c r="X316" s="81">
        <f>SUM(X317:X326)</f>
        <v>471028319.21000004</v>
      </c>
      <c r="Y316" s="335"/>
      <c r="Z316" s="404">
        <f>SUM(Z317:Z326)</f>
        <v>1596767569.71</v>
      </c>
      <c r="AA316" s="81">
        <f t="shared" si="26"/>
        <v>515355327.69000006</v>
      </c>
    </row>
    <row r="317" spans="1:27" ht="30" customHeight="1" x14ac:dyDescent="0.25">
      <c r="B317" s="124"/>
      <c r="C317" s="125"/>
      <c r="D317" s="125"/>
      <c r="E317" s="125"/>
      <c r="F317" s="125"/>
      <c r="G317" s="125"/>
      <c r="H317" s="125"/>
      <c r="I317" s="125"/>
      <c r="J317" s="126"/>
      <c r="K317" s="126" t="s">
        <v>112595</v>
      </c>
      <c r="L317" s="51">
        <v>76111500</v>
      </c>
      <c r="M317" s="88" t="s">
        <v>113224</v>
      </c>
      <c r="N317" s="89"/>
      <c r="O317" s="89"/>
      <c r="P317" s="121"/>
      <c r="Q317" s="90"/>
      <c r="R317" s="91">
        <f>560000000+6361000+7703000</f>
        <v>574064000</v>
      </c>
      <c r="S317" s="178"/>
      <c r="T317" s="93" t="s">
        <v>112999</v>
      </c>
      <c r="U317" s="275">
        <v>624</v>
      </c>
      <c r="V317" s="276">
        <v>574064000</v>
      </c>
      <c r="W317" s="276">
        <f t="shared" si="25"/>
        <v>0</v>
      </c>
      <c r="X317" s="276">
        <f t="shared" ref="X317:X326" si="31">V317-Z317</f>
        <v>3015.8500000238419</v>
      </c>
      <c r="Y317" s="340" t="s">
        <v>113420</v>
      </c>
      <c r="Z317" s="432">
        <v>574060984.14999998</v>
      </c>
      <c r="AA317" s="443">
        <f t="shared" si="26"/>
        <v>3015.8500000238419</v>
      </c>
    </row>
    <row r="318" spans="1:27" ht="60" customHeight="1" x14ac:dyDescent="0.25">
      <c r="B318" s="124"/>
      <c r="C318" s="125"/>
      <c r="D318" s="125"/>
      <c r="E318" s="125"/>
      <c r="F318" s="125"/>
      <c r="G318" s="125"/>
      <c r="H318" s="125"/>
      <c r="I318" s="125"/>
      <c r="J318" s="126"/>
      <c r="K318" s="126" t="s">
        <v>112595</v>
      </c>
      <c r="L318" s="51">
        <v>76111500</v>
      </c>
      <c r="M318" s="88" t="s">
        <v>113225</v>
      </c>
      <c r="N318" s="89"/>
      <c r="O318" s="89"/>
      <c r="P318" s="121"/>
      <c r="Q318" s="90"/>
      <c r="R318" s="91">
        <f>40450000+55319000</f>
        <v>95769000</v>
      </c>
      <c r="S318" s="178"/>
      <c r="T318" s="93" t="s">
        <v>112999</v>
      </c>
      <c r="U318" s="284" t="s">
        <v>113289</v>
      </c>
      <c r="V318" s="276">
        <f>31890221.53+21258082.87+21264460.74+21353566.38</f>
        <v>95766331.519999996</v>
      </c>
      <c r="W318" s="276">
        <f t="shared" si="25"/>
        <v>2668.4800000041723</v>
      </c>
      <c r="X318" s="276">
        <f t="shared" si="31"/>
        <v>0</v>
      </c>
      <c r="Y318" s="340" t="s">
        <v>108475</v>
      </c>
      <c r="Z318" s="432">
        <v>95766331.519999996</v>
      </c>
      <c r="AA318" s="443">
        <f t="shared" si="26"/>
        <v>2668.4800000041723</v>
      </c>
    </row>
    <row r="319" spans="1:27" ht="30" x14ac:dyDescent="0.25">
      <c r="B319" s="124"/>
      <c r="C319" s="125"/>
      <c r="D319" s="125"/>
      <c r="E319" s="125"/>
      <c r="F319" s="125"/>
      <c r="G319" s="125"/>
      <c r="H319" s="125"/>
      <c r="I319" s="125"/>
      <c r="J319" s="126"/>
      <c r="K319" s="126" t="s">
        <v>112595</v>
      </c>
      <c r="L319" s="51">
        <v>76111500</v>
      </c>
      <c r="M319" s="88" t="s">
        <v>113226</v>
      </c>
      <c r="N319" s="89">
        <v>45381</v>
      </c>
      <c r="O319" s="89" t="s">
        <v>113004</v>
      </c>
      <c r="P319" s="121" t="s">
        <v>113043</v>
      </c>
      <c r="Q319" s="90" t="s">
        <v>113039</v>
      </c>
      <c r="R319" s="91">
        <f>840000000-6361000-55319000</f>
        <v>778320000</v>
      </c>
      <c r="S319" s="178"/>
      <c r="T319" s="93" t="s">
        <v>112999</v>
      </c>
      <c r="U319" s="275">
        <v>33524</v>
      </c>
      <c r="V319" s="276">
        <v>778320000</v>
      </c>
      <c r="W319" s="276">
        <f t="shared" si="25"/>
        <v>0</v>
      </c>
      <c r="X319" s="276">
        <f t="shared" si="31"/>
        <v>141442063.65999997</v>
      </c>
      <c r="Y319" s="340" t="s">
        <v>113418</v>
      </c>
      <c r="Z319" s="432">
        <v>636877936.34000003</v>
      </c>
      <c r="AA319" s="443">
        <f t="shared" si="26"/>
        <v>141442063.65999997</v>
      </c>
    </row>
    <row r="320" spans="1:27" ht="45" x14ac:dyDescent="0.25">
      <c r="B320" s="124"/>
      <c r="C320" s="125"/>
      <c r="D320" s="125"/>
      <c r="E320" s="125"/>
      <c r="F320" s="125"/>
      <c r="G320" s="125"/>
      <c r="H320" s="125"/>
      <c r="I320" s="125"/>
      <c r="J320" s="126"/>
      <c r="K320" s="126" t="s">
        <v>112595</v>
      </c>
      <c r="L320" s="51">
        <v>76111500</v>
      </c>
      <c r="M320" s="88" t="s">
        <v>113227</v>
      </c>
      <c r="N320" s="89">
        <v>45381</v>
      </c>
      <c r="O320" s="89" t="s">
        <v>113004</v>
      </c>
      <c r="P320" s="121" t="s">
        <v>113043</v>
      </c>
      <c r="Q320" s="90" t="s">
        <v>113039</v>
      </c>
      <c r="R320" s="91">
        <f>71872000+55000000+15134000+1847957.4</f>
        <v>143853957.40000001</v>
      </c>
      <c r="S320" s="178"/>
      <c r="T320" s="93" t="s">
        <v>112999</v>
      </c>
      <c r="U320" s="275">
        <v>33724</v>
      </c>
      <c r="V320" s="276">
        <v>143853957.40000001</v>
      </c>
      <c r="W320" s="276">
        <f t="shared" si="25"/>
        <v>0</v>
      </c>
      <c r="X320" s="276">
        <f t="shared" si="31"/>
        <v>3791639.7000000179</v>
      </c>
      <c r="Y320" s="340" t="s">
        <v>113421</v>
      </c>
      <c r="Z320" s="432">
        <v>140062317.69999999</v>
      </c>
      <c r="AA320" s="443">
        <f t="shared" si="26"/>
        <v>3791639.7000000179</v>
      </c>
    </row>
    <row r="321" spans="2:27" ht="45" x14ac:dyDescent="0.25">
      <c r="B321" s="124"/>
      <c r="C321" s="125"/>
      <c r="D321" s="125"/>
      <c r="E321" s="125"/>
      <c r="F321" s="125"/>
      <c r="G321" s="125"/>
      <c r="H321" s="125"/>
      <c r="I321" s="125"/>
      <c r="J321" s="126"/>
      <c r="K321" s="126" t="s">
        <v>112595</v>
      </c>
      <c r="L321" s="51">
        <v>76111500</v>
      </c>
      <c r="M321" s="88" t="s">
        <v>113228</v>
      </c>
      <c r="N321" s="89">
        <v>45427</v>
      </c>
      <c r="O321" s="89" t="s">
        <v>113167</v>
      </c>
      <c r="P321" s="121" t="s">
        <v>113065</v>
      </c>
      <c r="Q321" s="90" t="s">
        <v>113039</v>
      </c>
      <c r="R321" s="91">
        <f>280000000+7032000-210490133.33-1346660-65741866.67</f>
        <v>9453339.9999999851</v>
      </c>
      <c r="S321" s="266">
        <v>912780000</v>
      </c>
      <c r="T321" s="93" t="s">
        <v>112999</v>
      </c>
      <c r="U321" s="275"/>
      <c r="V321" s="276"/>
      <c r="W321" s="276">
        <f t="shared" si="25"/>
        <v>9453339.9999999851</v>
      </c>
      <c r="X321" s="276">
        <f t="shared" si="31"/>
        <v>0</v>
      </c>
      <c r="Y321" s="340"/>
      <c r="Z321" s="432"/>
      <c r="AA321" s="443">
        <f t="shared" si="26"/>
        <v>9453339.9999999851</v>
      </c>
    </row>
    <row r="322" spans="2:27" ht="77.25" customHeight="1" x14ac:dyDescent="0.25">
      <c r="B322" s="84"/>
      <c r="C322" s="85"/>
      <c r="D322" s="85"/>
      <c r="E322" s="85"/>
      <c r="F322" s="85"/>
      <c r="G322" s="85"/>
      <c r="H322" s="85"/>
      <c r="I322" s="85"/>
      <c r="J322" s="86"/>
      <c r="K322" s="86"/>
      <c r="L322" s="87">
        <v>76111500</v>
      </c>
      <c r="M322" s="88" t="s">
        <v>113472</v>
      </c>
      <c r="N322" s="89">
        <v>45544</v>
      </c>
      <c r="O322" s="89" t="s">
        <v>113074</v>
      </c>
      <c r="P322" s="90" t="s">
        <v>113468</v>
      </c>
      <c r="Q322" s="90" t="s">
        <v>113473</v>
      </c>
      <c r="R322" s="91">
        <f>210490133.33+76541866.67</f>
        <v>287032000</v>
      </c>
      <c r="S322" s="92"/>
      <c r="T322" s="93" t="s">
        <v>112999</v>
      </c>
      <c r="U322" s="275">
        <v>81624</v>
      </c>
      <c r="V322" s="276">
        <v>287032000</v>
      </c>
      <c r="W322" s="276">
        <f t="shared" si="25"/>
        <v>0</v>
      </c>
      <c r="X322" s="276">
        <f t="shared" si="31"/>
        <v>287032000</v>
      </c>
      <c r="Y322" s="340"/>
      <c r="Z322" s="432"/>
      <c r="AA322" s="443">
        <f t="shared" si="26"/>
        <v>287032000</v>
      </c>
    </row>
    <row r="323" spans="2:27" ht="45" x14ac:dyDescent="0.25">
      <c r="B323" s="124"/>
      <c r="C323" s="125"/>
      <c r="D323" s="125"/>
      <c r="E323" s="125"/>
      <c r="F323" s="125"/>
      <c r="G323" s="125"/>
      <c r="H323" s="125"/>
      <c r="I323" s="125"/>
      <c r="J323" s="126"/>
      <c r="K323" s="126" t="s">
        <v>112595</v>
      </c>
      <c r="L323" s="51">
        <v>76111500</v>
      </c>
      <c r="M323" s="88" t="s">
        <v>113229</v>
      </c>
      <c r="N323" s="89">
        <v>45427</v>
      </c>
      <c r="O323" s="89" t="s">
        <v>113167</v>
      </c>
      <c r="P323" s="121" t="s">
        <v>113065</v>
      </c>
      <c r="Q323" s="90" t="s">
        <v>113039</v>
      </c>
      <c r="R323" s="91">
        <f>22460000+30394000-37878700-14975300</f>
        <v>0</v>
      </c>
      <c r="S323" s="266">
        <v>168180000</v>
      </c>
      <c r="T323" s="93" t="s">
        <v>112999</v>
      </c>
      <c r="U323" s="275"/>
      <c r="V323" s="276"/>
      <c r="W323" s="276">
        <f t="shared" si="25"/>
        <v>0</v>
      </c>
      <c r="X323" s="276">
        <f t="shared" si="31"/>
        <v>0</v>
      </c>
      <c r="Y323" s="340"/>
      <c r="Z323" s="432"/>
      <c r="AA323" s="443">
        <f t="shared" si="26"/>
        <v>0</v>
      </c>
    </row>
    <row r="324" spans="2:27" ht="77.25" customHeight="1" x14ac:dyDescent="0.25">
      <c r="B324" s="84"/>
      <c r="C324" s="85"/>
      <c r="D324" s="85"/>
      <c r="E324" s="85"/>
      <c r="F324" s="85"/>
      <c r="G324" s="85"/>
      <c r="H324" s="85"/>
      <c r="I324" s="85"/>
      <c r="J324" s="86"/>
      <c r="K324" s="86"/>
      <c r="L324" s="87">
        <v>76111500</v>
      </c>
      <c r="M324" s="88" t="s">
        <v>113474</v>
      </c>
      <c r="N324" s="89">
        <v>45544</v>
      </c>
      <c r="O324" s="89" t="s">
        <v>113074</v>
      </c>
      <c r="P324" s="90" t="s">
        <v>113468</v>
      </c>
      <c r="Q324" s="90" t="s">
        <v>113473</v>
      </c>
      <c r="R324" s="91">
        <f>37878700+880900</f>
        <v>38759600</v>
      </c>
      <c r="S324" s="92"/>
      <c r="T324" s="93" t="s">
        <v>112999</v>
      </c>
      <c r="U324" s="275">
        <v>81624</v>
      </c>
      <c r="V324" s="276">
        <v>38759600</v>
      </c>
      <c r="W324" s="276">
        <f t="shared" si="25"/>
        <v>0</v>
      </c>
      <c r="X324" s="276">
        <f t="shared" si="31"/>
        <v>38759600</v>
      </c>
      <c r="Y324" s="340"/>
      <c r="Z324" s="432"/>
      <c r="AA324" s="443">
        <f t="shared" si="26"/>
        <v>38759600</v>
      </c>
    </row>
    <row r="325" spans="2:27" ht="45" x14ac:dyDescent="0.25">
      <c r="B325" s="124"/>
      <c r="C325" s="125"/>
      <c r="D325" s="125"/>
      <c r="E325" s="125"/>
      <c r="F325" s="125"/>
      <c r="G325" s="125"/>
      <c r="H325" s="125"/>
      <c r="I325" s="125"/>
      <c r="J325" s="126"/>
      <c r="K325" s="126" t="s">
        <v>112595</v>
      </c>
      <c r="L325" s="87" t="s">
        <v>113131</v>
      </c>
      <c r="M325" s="88" t="s">
        <v>113132</v>
      </c>
      <c r="N325" s="89">
        <v>45413</v>
      </c>
      <c r="O325" s="89" t="s">
        <v>113167</v>
      </c>
      <c r="P325" s="121" t="s">
        <v>113133</v>
      </c>
      <c r="Q325" s="90" t="s">
        <v>113089</v>
      </c>
      <c r="R325" s="91">
        <f>80000000-7703000-7032000-30394000</f>
        <v>34871000</v>
      </c>
      <c r="S325" s="178"/>
      <c r="T325" s="93" t="s">
        <v>112999</v>
      </c>
      <c r="U325" s="277"/>
      <c r="V325" s="276"/>
      <c r="W325" s="276">
        <f t="shared" si="25"/>
        <v>34871000</v>
      </c>
      <c r="X325" s="276">
        <f t="shared" si="31"/>
        <v>0</v>
      </c>
      <c r="Y325" s="340"/>
      <c r="Z325" s="432"/>
      <c r="AA325" s="443">
        <f t="shared" si="26"/>
        <v>34871000</v>
      </c>
    </row>
    <row r="326" spans="2:27" ht="45" x14ac:dyDescent="0.25">
      <c r="B326" s="124"/>
      <c r="C326" s="125"/>
      <c r="D326" s="125"/>
      <c r="E326" s="125"/>
      <c r="F326" s="125"/>
      <c r="G326" s="125"/>
      <c r="H326" s="125"/>
      <c r="I326" s="125"/>
      <c r="J326" s="126"/>
      <c r="K326" s="126" t="s">
        <v>112595</v>
      </c>
      <c r="L326" s="51">
        <v>72102100</v>
      </c>
      <c r="M326" s="88" t="s">
        <v>113134</v>
      </c>
      <c r="N326" s="89">
        <v>45413</v>
      </c>
      <c r="O326" s="89" t="s">
        <v>113167</v>
      </c>
      <c r="P326" s="90" t="s">
        <v>113133</v>
      </c>
      <c r="Q326" s="90" t="s">
        <v>113089</v>
      </c>
      <c r="R326" s="91">
        <v>150000000</v>
      </c>
      <c r="S326" s="178"/>
      <c r="T326" s="93" t="s">
        <v>112999</v>
      </c>
      <c r="U326" s="275">
        <v>31824</v>
      </c>
      <c r="V326" s="276">
        <v>150000000</v>
      </c>
      <c r="W326" s="276">
        <f t="shared" si="25"/>
        <v>0</v>
      </c>
      <c r="X326" s="276">
        <f t="shared" si="31"/>
        <v>0</v>
      </c>
      <c r="Y326" s="340" t="s">
        <v>113417</v>
      </c>
      <c r="Z326" s="432">
        <v>150000000</v>
      </c>
      <c r="AA326" s="443">
        <f t="shared" si="26"/>
        <v>0</v>
      </c>
    </row>
    <row r="327" spans="2:27" ht="30" x14ac:dyDescent="0.25">
      <c r="B327" s="306" t="s">
        <v>105516</v>
      </c>
      <c r="C327" s="306" t="s">
        <v>105924</v>
      </c>
      <c r="D327" s="306" t="s">
        <v>105520</v>
      </c>
      <c r="E327" s="306" t="s">
        <v>105573</v>
      </c>
      <c r="F327" s="306" t="s">
        <v>105553</v>
      </c>
      <c r="G327" s="306" t="s">
        <v>105550</v>
      </c>
      <c r="H327" s="148"/>
      <c r="I327" s="148"/>
      <c r="J327" s="148"/>
      <c r="K327" s="149"/>
      <c r="L327" s="149"/>
      <c r="M327" s="150" t="s">
        <v>107092</v>
      </c>
      <c r="N327" s="151"/>
      <c r="O327" s="151" t="s">
        <v>112994</v>
      </c>
      <c r="P327" s="152"/>
      <c r="Q327" s="152"/>
      <c r="R327" s="153">
        <f>+R328</f>
        <v>25008800</v>
      </c>
      <c r="S327" s="153"/>
      <c r="T327" s="153"/>
      <c r="U327" s="153"/>
      <c r="V327" s="384">
        <f>+V328</f>
        <v>23510545.010000002</v>
      </c>
      <c r="W327" s="384">
        <f t="shared" si="25"/>
        <v>1498254.9899999984</v>
      </c>
      <c r="X327" s="153">
        <f>+X328</f>
        <v>0</v>
      </c>
      <c r="Y327" s="153"/>
      <c r="Z327" s="409">
        <f>+Z328</f>
        <v>23510545.010000002</v>
      </c>
      <c r="AA327" s="153">
        <f t="shared" si="26"/>
        <v>1498254.9899999984</v>
      </c>
    </row>
    <row r="328" spans="2:27"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25008800</v>
      </c>
      <c r="S328" s="82"/>
      <c r="T328" s="96"/>
      <c r="U328" s="79"/>
      <c r="V328" s="378">
        <f>+V329</f>
        <v>23510545.010000002</v>
      </c>
      <c r="W328" s="378">
        <f t="shared" ref="W328:W391" si="32">R328-V328</f>
        <v>1498254.9899999984</v>
      </c>
      <c r="X328" s="81">
        <f>+X329</f>
        <v>0</v>
      </c>
      <c r="Y328" s="335"/>
      <c r="Z328" s="404">
        <f>+Z329</f>
        <v>23510545.010000002</v>
      </c>
      <c r="AA328" s="81">
        <f t="shared" ref="AA328:AA355" si="33">R328-Z328</f>
        <v>1498254.9899999984</v>
      </c>
    </row>
    <row r="329" spans="2:27"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25008800</v>
      </c>
      <c r="S329" s="82"/>
      <c r="T329" s="96"/>
      <c r="U329" s="79"/>
      <c r="V329" s="378">
        <f>SUM(V330:V331)</f>
        <v>23510545.010000002</v>
      </c>
      <c r="W329" s="378">
        <f t="shared" si="32"/>
        <v>1498254.9899999984</v>
      </c>
      <c r="X329" s="81">
        <f>SUM(X330:X331)</f>
        <v>0</v>
      </c>
      <c r="Y329" s="335"/>
      <c r="Z329" s="404">
        <f>SUM(Z330:Z331)</f>
        <v>23510545.010000002</v>
      </c>
      <c r="AA329" s="81">
        <f t="shared" si="33"/>
        <v>1498254.9899999984</v>
      </c>
    </row>
    <row r="330" spans="2:27" ht="45" x14ac:dyDescent="0.25">
      <c r="B330" s="84"/>
      <c r="C330" s="85"/>
      <c r="D330" s="85"/>
      <c r="E330" s="85"/>
      <c r="F330" s="85"/>
      <c r="G330" s="85"/>
      <c r="H330" s="85"/>
      <c r="I330" s="85"/>
      <c r="J330" s="86"/>
      <c r="K330" s="86" t="s">
        <v>112614</v>
      </c>
      <c r="L330" s="87" t="s">
        <v>113205</v>
      </c>
      <c r="M330" s="88" t="s">
        <v>113136</v>
      </c>
      <c r="N330" s="89">
        <v>45425</v>
      </c>
      <c r="O330" s="89" t="s">
        <v>113082</v>
      </c>
      <c r="P330" s="90" t="s">
        <v>113026</v>
      </c>
      <c r="Q330" s="90" t="s">
        <v>113036</v>
      </c>
      <c r="R330" s="91">
        <f>116456800-80000000-11448000</f>
        <v>25008800</v>
      </c>
      <c r="S330" s="92"/>
      <c r="T330" s="93" t="s">
        <v>113017</v>
      </c>
      <c r="U330" s="275">
        <v>41824</v>
      </c>
      <c r="V330" s="276">
        <v>23510545.010000002</v>
      </c>
      <c r="W330" s="276">
        <f t="shared" si="32"/>
        <v>1498254.9899999984</v>
      </c>
      <c r="X330" s="276">
        <f>V330-Z330</f>
        <v>0</v>
      </c>
      <c r="Y330" s="340" t="s">
        <v>113447</v>
      </c>
      <c r="Z330" s="432">
        <v>23510545.010000002</v>
      </c>
      <c r="AA330" s="443">
        <f t="shared" si="33"/>
        <v>1498254.9899999984</v>
      </c>
    </row>
    <row r="331" spans="2:27" ht="45" x14ac:dyDescent="0.25">
      <c r="B331" s="124"/>
      <c r="C331" s="125"/>
      <c r="D331" s="125"/>
      <c r="E331" s="125"/>
      <c r="F331" s="125"/>
      <c r="G331" s="125"/>
      <c r="H331" s="125"/>
      <c r="I331" s="125"/>
      <c r="J331" s="125"/>
      <c r="K331" s="125" t="s">
        <v>112614</v>
      </c>
      <c r="L331" s="179">
        <v>73152100</v>
      </c>
      <c r="M331" s="113" t="s">
        <v>113135</v>
      </c>
      <c r="N331" s="114">
        <v>45444</v>
      </c>
      <c r="O331" s="89" t="s">
        <v>113008</v>
      </c>
      <c r="P331" s="90" t="s">
        <v>113005</v>
      </c>
      <c r="Q331" s="121" t="s">
        <v>112998</v>
      </c>
      <c r="R331" s="91">
        <f>55000000-55000000</f>
        <v>0</v>
      </c>
      <c r="S331" s="92"/>
      <c r="T331" s="93" t="s">
        <v>112999</v>
      </c>
      <c r="U331" s="277"/>
      <c r="V331" s="276"/>
      <c r="W331" s="276">
        <f t="shared" si="32"/>
        <v>0</v>
      </c>
      <c r="X331" s="276">
        <f>V331-Z331</f>
        <v>0</v>
      </c>
      <c r="Y331" s="340"/>
      <c r="Z331" s="432"/>
      <c r="AA331" s="443">
        <f t="shared" si="33"/>
        <v>0</v>
      </c>
    </row>
    <row r="332" spans="2:27"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76">
        <f t="shared" ref="V332:X333" si="34">+V333</f>
        <v>0</v>
      </c>
      <c r="W332" s="376">
        <f t="shared" si="32"/>
        <v>4866000</v>
      </c>
      <c r="X332" s="65">
        <f t="shared" si="34"/>
        <v>0</v>
      </c>
      <c r="Y332" s="333"/>
      <c r="Z332" s="402">
        <f>+Z333</f>
        <v>0</v>
      </c>
      <c r="AA332" s="65">
        <f t="shared" si="33"/>
        <v>4866000</v>
      </c>
    </row>
    <row r="333" spans="2:27" ht="63.75" customHeight="1" x14ac:dyDescent="0.25">
      <c r="B333" s="306" t="s">
        <v>105516</v>
      </c>
      <c r="C333" s="306" t="s">
        <v>105924</v>
      </c>
      <c r="D333" s="306" t="s">
        <v>105520</v>
      </c>
      <c r="E333" s="306" t="s">
        <v>105573</v>
      </c>
      <c r="F333" s="307" t="s">
        <v>105556</v>
      </c>
      <c r="G333" s="307" t="s">
        <v>105541</v>
      </c>
      <c r="H333" s="148"/>
      <c r="I333" s="148"/>
      <c r="J333" s="148"/>
      <c r="K333" s="149"/>
      <c r="L333" s="149"/>
      <c r="M333" s="150" t="s">
        <v>107192</v>
      </c>
      <c r="N333" s="151"/>
      <c r="O333" s="151"/>
      <c r="P333" s="152"/>
      <c r="Q333" s="152"/>
      <c r="R333" s="153">
        <f>+R334</f>
        <v>4866000</v>
      </c>
      <c r="S333" s="153"/>
      <c r="T333" s="153"/>
      <c r="U333" s="153"/>
      <c r="V333" s="384">
        <f t="shared" si="34"/>
        <v>0</v>
      </c>
      <c r="W333" s="384">
        <f t="shared" si="32"/>
        <v>4866000</v>
      </c>
      <c r="X333" s="153">
        <f t="shared" si="34"/>
        <v>0</v>
      </c>
      <c r="Y333" s="153"/>
      <c r="Z333" s="409">
        <f>+Z334</f>
        <v>0</v>
      </c>
      <c r="AA333" s="153">
        <f t="shared" si="33"/>
        <v>4866000</v>
      </c>
    </row>
    <row r="334" spans="2:27"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78">
        <f>+V335</f>
        <v>0</v>
      </c>
      <c r="W334" s="378">
        <f t="shared" si="32"/>
        <v>4866000</v>
      </c>
      <c r="X334" s="81">
        <f>+X335</f>
        <v>0</v>
      </c>
      <c r="Y334" s="335"/>
      <c r="Z334" s="404">
        <f>+Z335</f>
        <v>0</v>
      </c>
      <c r="AA334" s="81">
        <f t="shared" si="33"/>
        <v>4866000</v>
      </c>
    </row>
    <row r="335" spans="2:27" ht="60" x14ac:dyDescent="0.25">
      <c r="B335" s="84"/>
      <c r="C335" s="85"/>
      <c r="D335" s="85"/>
      <c r="E335" s="85"/>
      <c r="F335" s="85"/>
      <c r="G335" s="85"/>
      <c r="H335" s="85"/>
      <c r="I335" s="85"/>
      <c r="J335" s="86"/>
      <c r="K335" s="86"/>
      <c r="L335" s="87" t="s">
        <v>113230</v>
      </c>
      <c r="M335" s="88" t="s">
        <v>113231</v>
      </c>
      <c r="N335" s="89">
        <v>45444</v>
      </c>
      <c r="O335" s="89" t="s">
        <v>113008</v>
      </c>
      <c r="P335" s="90" t="s">
        <v>113005</v>
      </c>
      <c r="Q335" s="90" t="s">
        <v>113050</v>
      </c>
      <c r="R335" s="91">
        <f>20000000-15134000</f>
        <v>4866000</v>
      </c>
      <c r="S335" s="92"/>
      <c r="T335" s="93" t="s">
        <v>112999</v>
      </c>
      <c r="U335" s="277"/>
      <c r="V335" s="276"/>
      <c r="W335" s="276">
        <f t="shared" si="32"/>
        <v>4866000</v>
      </c>
      <c r="X335" s="276">
        <f>V335-Z335</f>
        <v>0</v>
      </c>
      <c r="Y335" s="340"/>
      <c r="Z335" s="432"/>
      <c r="AA335" s="443">
        <f t="shared" si="33"/>
        <v>4866000</v>
      </c>
    </row>
    <row r="336" spans="2:27" x14ac:dyDescent="0.25">
      <c r="B336" s="287" t="s">
        <v>105516</v>
      </c>
      <c r="C336" s="287" t="s">
        <v>106103</v>
      </c>
      <c r="D336" s="287"/>
      <c r="E336" s="287"/>
      <c r="F336" s="287"/>
      <c r="G336" s="287"/>
      <c r="H336" s="287"/>
      <c r="I336" s="287"/>
      <c r="J336" s="287"/>
      <c r="K336" s="180"/>
      <c r="L336" s="181"/>
      <c r="M336" s="182" t="s">
        <v>112750</v>
      </c>
      <c r="N336" s="183"/>
      <c r="O336" s="183" t="s">
        <v>112994</v>
      </c>
      <c r="P336" s="184"/>
      <c r="Q336" s="184"/>
      <c r="R336" s="396">
        <f>R337+R342</f>
        <v>1978000000</v>
      </c>
      <c r="S336" s="293"/>
      <c r="T336" s="293"/>
      <c r="U336" s="293"/>
      <c r="V336" s="370">
        <f>V337+V342</f>
        <v>1373848635.3199999</v>
      </c>
      <c r="W336" s="370">
        <f t="shared" si="32"/>
        <v>604151364.68000007</v>
      </c>
      <c r="X336" s="370">
        <f>X337+X342</f>
        <v>19428916</v>
      </c>
      <c r="Y336" s="293"/>
      <c r="Z336" s="410">
        <f>Z337+Z342</f>
        <v>1354419719.3199999</v>
      </c>
      <c r="AA336" s="370">
        <f t="shared" si="33"/>
        <v>623580280.68000007</v>
      </c>
    </row>
    <row r="337" spans="2:27" x14ac:dyDescent="0.25">
      <c r="B337" s="287" t="s">
        <v>105516</v>
      </c>
      <c r="C337" s="287" t="s">
        <v>106103</v>
      </c>
      <c r="D337" s="287" t="s">
        <v>105520</v>
      </c>
      <c r="E337" s="287"/>
      <c r="F337" s="287"/>
      <c r="G337" s="287"/>
      <c r="H337" s="287"/>
      <c r="I337" s="287"/>
      <c r="J337" s="287"/>
      <c r="K337" s="180"/>
      <c r="L337" s="181"/>
      <c r="M337" s="182" t="s">
        <v>113303</v>
      </c>
      <c r="N337" s="183"/>
      <c r="O337" s="183" t="s">
        <v>112994</v>
      </c>
      <c r="P337" s="184"/>
      <c r="Q337" s="184"/>
      <c r="R337" s="396">
        <f>R338+R340</f>
        <v>158000000</v>
      </c>
      <c r="S337" s="293"/>
      <c r="T337" s="293"/>
      <c r="U337" s="293"/>
      <c r="V337" s="370">
        <f>V338+V340</f>
        <v>158000000</v>
      </c>
      <c r="W337" s="370">
        <f t="shared" si="32"/>
        <v>0</v>
      </c>
      <c r="X337" s="370">
        <f>X338+X340</f>
        <v>19428916</v>
      </c>
      <c r="Y337" s="293"/>
      <c r="Z337" s="410">
        <f>Z338+Z340</f>
        <v>138571084</v>
      </c>
      <c r="AA337" s="370">
        <f t="shared" si="33"/>
        <v>19428916</v>
      </c>
    </row>
    <row r="338" spans="2:27" x14ac:dyDescent="0.25">
      <c r="B338" s="305" t="s">
        <v>105516</v>
      </c>
      <c r="C338" s="305" t="s">
        <v>106103</v>
      </c>
      <c r="D338" s="305" t="s">
        <v>105520</v>
      </c>
      <c r="E338" s="305" t="s">
        <v>105520</v>
      </c>
      <c r="F338" s="274"/>
      <c r="G338" s="274"/>
      <c r="H338" s="274"/>
      <c r="I338" s="274"/>
      <c r="J338" s="274"/>
      <c r="K338" s="185"/>
      <c r="L338" s="185"/>
      <c r="M338" s="186" t="s">
        <v>112754</v>
      </c>
      <c r="N338" s="187"/>
      <c r="O338" s="187" t="s">
        <v>112994</v>
      </c>
      <c r="P338" s="188"/>
      <c r="Q338" s="188"/>
      <c r="R338" s="189">
        <f>+R339</f>
        <v>60000000</v>
      </c>
      <c r="S338" s="189"/>
      <c r="T338" s="189"/>
      <c r="U338" s="189"/>
      <c r="V338" s="371">
        <f>+V339</f>
        <v>60000000</v>
      </c>
      <c r="W338" s="371">
        <f t="shared" si="32"/>
        <v>0</v>
      </c>
      <c r="X338" s="371">
        <f>+X339</f>
        <v>928916</v>
      </c>
      <c r="Y338" s="189"/>
      <c r="Z338" s="411">
        <f>+Z339</f>
        <v>59071084</v>
      </c>
      <c r="AA338" s="371">
        <f t="shared" si="33"/>
        <v>928916</v>
      </c>
    </row>
    <row r="339" spans="2:27" x14ac:dyDescent="0.25">
      <c r="B339" s="291"/>
      <c r="C339" s="291"/>
      <c r="D339" s="291"/>
      <c r="E339" s="291"/>
      <c r="F339" s="289"/>
      <c r="G339" s="289"/>
      <c r="H339" s="289"/>
      <c r="I339" s="289"/>
      <c r="J339" s="289"/>
      <c r="K339" s="86" t="s">
        <v>112751</v>
      </c>
      <c r="L339" s="192"/>
      <c r="M339" s="97" t="s">
        <v>112754</v>
      </c>
      <c r="N339" s="90"/>
      <c r="O339" s="90"/>
      <c r="P339" s="90"/>
      <c r="Q339" s="90"/>
      <c r="R339" s="91">
        <f>71000000-11000000</f>
        <v>60000000</v>
      </c>
      <c r="S339" s="174"/>
      <c r="T339" s="175" t="s">
        <v>113010</v>
      </c>
      <c r="U339" s="275">
        <v>6424</v>
      </c>
      <c r="V339" s="276">
        <v>60000000</v>
      </c>
      <c r="W339" s="276">
        <f t="shared" si="32"/>
        <v>0</v>
      </c>
      <c r="X339" s="276">
        <f>V339-Z339</f>
        <v>928916</v>
      </c>
      <c r="Y339" s="340" t="s">
        <v>113423</v>
      </c>
      <c r="Z339" s="439">
        <f>58374572+696512</f>
        <v>59071084</v>
      </c>
      <c r="AA339" s="443">
        <f t="shared" si="33"/>
        <v>928916</v>
      </c>
    </row>
    <row r="340" spans="2:27" x14ac:dyDescent="0.25">
      <c r="B340" s="305" t="s">
        <v>105516</v>
      </c>
      <c r="C340" s="305" t="s">
        <v>106103</v>
      </c>
      <c r="D340" s="305" t="s">
        <v>105520</v>
      </c>
      <c r="E340" s="305" t="s">
        <v>105573</v>
      </c>
      <c r="F340" s="274"/>
      <c r="G340" s="274"/>
      <c r="H340" s="274"/>
      <c r="I340" s="274"/>
      <c r="J340" s="274"/>
      <c r="K340" s="185"/>
      <c r="L340" s="185"/>
      <c r="M340" s="186" t="s">
        <v>112756</v>
      </c>
      <c r="N340" s="187"/>
      <c r="O340" s="187" t="s">
        <v>112994</v>
      </c>
      <c r="P340" s="188"/>
      <c r="Q340" s="188"/>
      <c r="R340" s="397">
        <f>R341</f>
        <v>98000000</v>
      </c>
      <c r="S340" s="190"/>
      <c r="T340" s="191"/>
      <c r="U340" s="191"/>
      <c r="V340" s="371">
        <f>+V341</f>
        <v>98000000</v>
      </c>
      <c r="W340" s="371">
        <f t="shared" si="32"/>
        <v>0</v>
      </c>
      <c r="X340" s="371">
        <f>+X341</f>
        <v>18500000</v>
      </c>
      <c r="Y340" s="189"/>
      <c r="Z340" s="411">
        <f>+Z341</f>
        <v>79500000</v>
      </c>
      <c r="AA340" s="371">
        <f t="shared" si="33"/>
        <v>18500000</v>
      </c>
    </row>
    <row r="341" spans="2:27" x14ac:dyDescent="0.25">
      <c r="B341" s="448"/>
      <c r="C341" s="449"/>
      <c r="D341" s="449"/>
      <c r="E341" s="449"/>
      <c r="F341" s="449"/>
      <c r="G341" s="449"/>
      <c r="H341" s="449"/>
      <c r="I341" s="449"/>
      <c r="J341" s="449"/>
      <c r="K341" s="449"/>
      <c r="L341" s="450"/>
      <c r="M341" s="97" t="s">
        <v>112756</v>
      </c>
      <c r="N341" s="90"/>
      <c r="O341" s="90"/>
      <c r="P341" s="90"/>
      <c r="Q341" s="90"/>
      <c r="R341" s="94">
        <f>47000000+40000000+11000000</f>
        <v>98000000</v>
      </c>
      <c r="S341" s="174"/>
      <c r="T341" s="175" t="s">
        <v>113010</v>
      </c>
      <c r="U341" s="275">
        <v>6424</v>
      </c>
      <c r="V341" s="276">
        <v>98000000</v>
      </c>
      <c r="W341" s="276">
        <f t="shared" si="32"/>
        <v>0</v>
      </c>
      <c r="X341" s="276">
        <f>V341-Z341</f>
        <v>18500000</v>
      </c>
      <c r="Y341" s="340" t="s">
        <v>113424</v>
      </c>
      <c r="Z341" s="439">
        <v>79500000</v>
      </c>
      <c r="AA341" s="443">
        <f t="shared" si="33"/>
        <v>18500000</v>
      </c>
    </row>
    <row r="342" spans="2:27" x14ac:dyDescent="0.25">
      <c r="B342" s="305" t="s">
        <v>105516</v>
      </c>
      <c r="C342" s="305" t="s">
        <v>106103</v>
      </c>
      <c r="D342" s="305" t="s">
        <v>105675</v>
      </c>
      <c r="E342" s="274"/>
      <c r="F342" s="274"/>
      <c r="G342" s="274"/>
      <c r="H342" s="274"/>
      <c r="I342" s="274"/>
      <c r="J342" s="274"/>
      <c r="K342" s="185"/>
      <c r="L342" s="185"/>
      <c r="M342" s="186" t="s">
        <v>112762</v>
      </c>
      <c r="N342" s="187"/>
      <c r="O342" s="187" t="s">
        <v>112994</v>
      </c>
      <c r="P342" s="188"/>
      <c r="Q342" s="188"/>
      <c r="R342" s="189">
        <f>+R343</f>
        <v>1820000000</v>
      </c>
      <c r="S342" s="190"/>
      <c r="T342" s="191"/>
      <c r="U342" s="191"/>
      <c r="V342" s="371">
        <f>+V343</f>
        <v>1215848635.3199999</v>
      </c>
      <c r="W342" s="371">
        <f t="shared" si="32"/>
        <v>604151364.68000007</v>
      </c>
      <c r="X342" s="371">
        <f>+X343</f>
        <v>0</v>
      </c>
      <c r="Y342" s="189"/>
      <c r="Z342" s="411">
        <f>+Z343</f>
        <v>1215848635.3199999</v>
      </c>
      <c r="AA342" s="371">
        <f t="shared" si="33"/>
        <v>604151364.68000007</v>
      </c>
    </row>
    <row r="343" spans="2:27" x14ac:dyDescent="0.25">
      <c r="B343" s="288"/>
      <c r="C343" s="289"/>
      <c r="D343" s="289"/>
      <c r="E343" s="289"/>
      <c r="F343" s="289"/>
      <c r="G343" s="289"/>
      <c r="H343" s="289"/>
      <c r="I343" s="289"/>
      <c r="J343" s="290"/>
      <c r="K343" s="86" t="s">
        <v>112761</v>
      </c>
      <c r="L343" s="192"/>
      <c r="M343" s="97" t="s">
        <v>113137</v>
      </c>
      <c r="N343" s="90"/>
      <c r="O343" s="90" t="s">
        <v>113029</v>
      </c>
      <c r="P343" s="90"/>
      <c r="Q343" s="90"/>
      <c r="R343" s="91">
        <f>5600000000-2280000000-900000000-600000000</f>
        <v>1820000000</v>
      </c>
      <c r="S343" s="174"/>
      <c r="T343" s="175" t="s">
        <v>113061</v>
      </c>
      <c r="U343" s="275" t="s">
        <v>113288</v>
      </c>
      <c r="V343" s="360">
        <v>1215848635.3199999</v>
      </c>
      <c r="W343" s="360">
        <f t="shared" si="32"/>
        <v>604151364.68000007</v>
      </c>
      <c r="X343" s="276"/>
      <c r="Y343" s="340" t="s">
        <v>113349</v>
      </c>
      <c r="Z343" s="436">
        <v>1215848635.3199999</v>
      </c>
      <c r="AA343" s="443">
        <f t="shared" si="33"/>
        <v>604151364.68000007</v>
      </c>
    </row>
    <row r="344" spans="2:27" ht="44.25" customHeight="1" x14ac:dyDescent="0.25">
      <c r="B344" s="193" t="s">
        <v>105516</v>
      </c>
      <c r="C344" s="193" t="s">
        <v>106106</v>
      </c>
      <c r="D344" s="193"/>
      <c r="E344" s="193"/>
      <c r="F344" s="193"/>
      <c r="G344" s="193"/>
      <c r="H344" s="193"/>
      <c r="I344" s="193"/>
      <c r="J344" s="193"/>
      <c r="K344" s="194"/>
      <c r="L344" s="195"/>
      <c r="M344" s="196" t="s">
        <v>112766</v>
      </c>
      <c r="N344" s="197"/>
      <c r="O344" s="197" t="s">
        <v>112994</v>
      </c>
      <c r="P344" s="198"/>
      <c r="Q344" s="198"/>
      <c r="R344" s="199">
        <f>R345+R353+R356</f>
        <v>3821000000</v>
      </c>
      <c r="S344" s="199"/>
      <c r="T344" s="199"/>
      <c r="U344" s="199"/>
      <c r="V344" s="385">
        <f>V345</f>
        <v>3543842425</v>
      </c>
      <c r="W344" s="385">
        <f t="shared" si="32"/>
        <v>277157575</v>
      </c>
      <c r="X344" s="199">
        <f>X345</f>
        <v>0</v>
      </c>
      <c r="Y344" s="199"/>
      <c r="Z344" s="412">
        <f>Z345</f>
        <v>3543842425</v>
      </c>
      <c r="AA344" s="199">
        <f t="shared" si="33"/>
        <v>277157575</v>
      </c>
    </row>
    <row r="345" spans="2:27" x14ac:dyDescent="0.25">
      <c r="B345" s="200" t="s">
        <v>105516</v>
      </c>
      <c r="C345" s="200" t="s">
        <v>106106</v>
      </c>
      <c r="D345" s="200" t="s">
        <v>105520</v>
      </c>
      <c r="E345" s="200"/>
      <c r="F345" s="200"/>
      <c r="G345" s="200"/>
      <c r="H345" s="200"/>
      <c r="I345" s="200"/>
      <c r="J345" s="200"/>
      <c r="K345" s="201"/>
      <c r="L345" s="201"/>
      <c r="M345" s="202" t="s">
        <v>112768</v>
      </c>
      <c r="N345" s="203"/>
      <c r="O345" s="203" t="s">
        <v>112994</v>
      </c>
      <c r="P345" s="204"/>
      <c r="Q345" s="204"/>
      <c r="R345" s="205">
        <f>R346</f>
        <v>3586000000</v>
      </c>
      <c r="S345" s="205"/>
      <c r="T345" s="205"/>
      <c r="U345" s="205"/>
      <c r="V345" s="386">
        <f>V346</f>
        <v>3543842425</v>
      </c>
      <c r="W345" s="386">
        <f t="shared" si="32"/>
        <v>42157575</v>
      </c>
      <c r="X345" s="205">
        <f>X346</f>
        <v>0</v>
      </c>
      <c r="Y345" s="205"/>
      <c r="Z345" s="413">
        <f>Z346</f>
        <v>3543842425</v>
      </c>
      <c r="AA345" s="205">
        <f t="shared" si="33"/>
        <v>42157575</v>
      </c>
    </row>
    <row r="346" spans="2:27" x14ac:dyDescent="0.25">
      <c r="B346" s="206" t="s">
        <v>105516</v>
      </c>
      <c r="C346" s="206" t="s">
        <v>106106</v>
      </c>
      <c r="D346" s="206" t="s">
        <v>105520</v>
      </c>
      <c r="E346" s="206" t="s">
        <v>105573</v>
      </c>
      <c r="F346" s="206"/>
      <c r="G346" s="206"/>
      <c r="H346" s="206"/>
      <c r="I346" s="206"/>
      <c r="J346" s="206"/>
      <c r="K346" s="207"/>
      <c r="L346" s="207"/>
      <c r="M346" s="208" t="s">
        <v>112780</v>
      </c>
      <c r="N346" s="209"/>
      <c r="O346" s="209" t="s">
        <v>112994</v>
      </c>
      <c r="P346" s="210"/>
      <c r="Q346" s="210"/>
      <c r="R346" s="211">
        <f>R347+R349+R351</f>
        <v>3586000000</v>
      </c>
      <c r="S346" s="211"/>
      <c r="T346" s="211"/>
      <c r="U346" s="211"/>
      <c r="V346" s="387">
        <f>V347+V349+V351</f>
        <v>3543842425</v>
      </c>
      <c r="W346" s="387">
        <f t="shared" si="32"/>
        <v>42157575</v>
      </c>
      <c r="X346" s="211">
        <f>X347+X349+X351</f>
        <v>0</v>
      </c>
      <c r="Y346" s="211"/>
      <c r="Z346" s="414">
        <f>Z347+Z349+Z351</f>
        <v>3543842425</v>
      </c>
      <c r="AA346" s="211">
        <f t="shared" si="33"/>
        <v>42157575</v>
      </c>
    </row>
    <row r="347" spans="2:27" x14ac:dyDescent="0.25">
      <c r="B347" s="306" t="s">
        <v>105516</v>
      </c>
      <c r="C347" s="306" t="s">
        <v>106106</v>
      </c>
      <c r="D347" s="306" t="s">
        <v>105520</v>
      </c>
      <c r="E347" s="306" t="s">
        <v>105573</v>
      </c>
      <c r="F347" s="306" t="s">
        <v>105528</v>
      </c>
      <c r="G347" s="212"/>
      <c r="H347" s="212"/>
      <c r="I347" s="212"/>
      <c r="J347" s="212"/>
      <c r="K347" s="61"/>
      <c r="L347" s="61"/>
      <c r="M347" s="62" t="s">
        <v>112782</v>
      </c>
      <c r="N347" s="63"/>
      <c r="O347" s="63" t="s">
        <v>112994</v>
      </c>
      <c r="P347" s="64"/>
      <c r="Q347" s="64"/>
      <c r="R347" s="65">
        <f>+R348</f>
        <v>3492000000</v>
      </c>
      <c r="S347" s="66"/>
      <c r="T347" s="67"/>
      <c r="U347" s="67"/>
      <c r="V347" s="376">
        <f>+V348</f>
        <v>3456538657</v>
      </c>
      <c r="W347" s="376">
        <f t="shared" si="32"/>
        <v>35461343</v>
      </c>
      <c r="X347" s="65">
        <f>+X348</f>
        <v>0</v>
      </c>
      <c r="Y347" s="348"/>
      <c r="Z347" s="402">
        <f>+Z348</f>
        <v>3456538657</v>
      </c>
      <c r="AA347" s="65">
        <f t="shared" si="33"/>
        <v>35461343</v>
      </c>
    </row>
    <row r="348" spans="2:27" x14ac:dyDescent="0.25">
      <c r="B348" s="84"/>
      <c r="C348" s="85"/>
      <c r="D348" s="85"/>
      <c r="E348" s="85"/>
      <c r="F348" s="85"/>
      <c r="G348" s="85"/>
      <c r="H348" s="85"/>
      <c r="I348" s="85"/>
      <c r="J348" s="86"/>
      <c r="K348" s="86" t="s">
        <v>112781</v>
      </c>
      <c r="L348" s="192"/>
      <c r="M348" s="97" t="str">
        <f>+M347</f>
        <v>IMPUESTO PREDIAL Y SOBRETASA AMBIENTAL</v>
      </c>
      <c r="N348" s="90"/>
      <c r="O348" s="90"/>
      <c r="P348" s="90"/>
      <c r="Q348" s="90"/>
      <c r="R348" s="177">
        <v>3492000000</v>
      </c>
      <c r="S348" s="213"/>
      <c r="T348" s="175"/>
      <c r="U348" s="275">
        <v>12524</v>
      </c>
      <c r="V348" s="276">
        <v>3456538657</v>
      </c>
      <c r="W348" s="276">
        <f t="shared" si="32"/>
        <v>35461343</v>
      </c>
      <c r="X348" s="276">
        <f>V348-Z348</f>
        <v>0</v>
      </c>
      <c r="Y348" s="340" t="s">
        <v>113425</v>
      </c>
      <c r="Z348" s="432">
        <v>3456538657</v>
      </c>
      <c r="AA348" s="443">
        <f t="shared" si="33"/>
        <v>35461343</v>
      </c>
    </row>
    <row r="349" spans="2:27" x14ac:dyDescent="0.25">
      <c r="B349" s="306" t="s">
        <v>105516</v>
      </c>
      <c r="C349" s="306" t="s">
        <v>106106</v>
      </c>
      <c r="D349" s="306" t="s">
        <v>105520</v>
      </c>
      <c r="E349" s="306" t="s">
        <v>105573</v>
      </c>
      <c r="F349" s="306" t="s">
        <v>105538</v>
      </c>
      <c r="G349" s="212"/>
      <c r="H349" s="212"/>
      <c r="I349" s="212"/>
      <c r="J349" s="212"/>
      <c r="K349" s="61"/>
      <c r="L349" s="61"/>
      <c r="M349" s="62" t="s">
        <v>112786</v>
      </c>
      <c r="N349" s="63"/>
      <c r="O349" s="63" t="s">
        <v>112994</v>
      </c>
      <c r="P349" s="64"/>
      <c r="Q349" s="64"/>
      <c r="R349" s="65">
        <f>+R350</f>
        <v>90000000</v>
      </c>
      <c r="S349" s="66"/>
      <c r="T349" s="67"/>
      <c r="U349" s="67"/>
      <c r="V349" s="376">
        <f>+V350</f>
        <v>86986504</v>
      </c>
      <c r="W349" s="376">
        <f t="shared" si="32"/>
        <v>3013496</v>
      </c>
      <c r="X349" s="65">
        <f>+X350</f>
        <v>0</v>
      </c>
      <c r="Y349" s="348"/>
      <c r="Z349" s="402">
        <f>+Z350</f>
        <v>86986504</v>
      </c>
      <c r="AA349" s="65">
        <f t="shared" si="33"/>
        <v>3013496</v>
      </c>
    </row>
    <row r="350" spans="2:27"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26" t="s">
        <v>113345</v>
      </c>
      <c r="V350" s="276">
        <f>62572236+24414268</f>
        <v>86986504</v>
      </c>
      <c r="W350" s="276">
        <f t="shared" si="32"/>
        <v>3013496</v>
      </c>
      <c r="X350" s="276">
        <f>V350-Z350</f>
        <v>0</v>
      </c>
      <c r="Y350" s="340" t="s">
        <v>113350</v>
      </c>
      <c r="Z350" s="433">
        <f>62572236+24414268</f>
        <v>86986504</v>
      </c>
      <c r="AA350" s="443">
        <f t="shared" si="33"/>
        <v>3013496</v>
      </c>
    </row>
    <row r="351" spans="2:27" x14ac:dyDescent="0.25">
      <c r="B351" s="306" t="s">
        <v>105516</v>
      </c>
      <c r="C351" s="306" t="s">
        <v>106106</v>
      </c>
      <c r="D351" s="306" t="s">
        <v>105520</v>
      </c>
      <c r="E351" s="306" t="s">
        <v>105573</v>
      </c>
      <c r="F351" s="306" t="s">
        <v>105547</v>
      </c>
      <c r="G351" s="212"/>
      <c r="H351" s="212"/>
      <c r="I351" s="212"/>
      <c r="J351" s="212"/>
      <c r="K351" s="61"/>
      <c r="L351" s="61"/>
      <c r="M351" s="62" t="s">
        <v>112792</v>
      </c>
      <c r="N351" s="63"/>
      <c r="O351" s="63" t="s">
        <v>112994</v>
      </c>
      <c r="P351" s="64"/>
      <c r="Q351" s="64"/>
      <c r="R351" s="65">
        <f>+R352</f>
        <v>4000000</v>
      </c>
      <c r="S351" s="66"/>
      <c r="T351" s="67"/>
      <c r="U351" s="67"/>
      <c r="V351" s="376">
        <f>+V352</f>
        <v>317264</v>
      </c>
      <c r="W351" s="376">
        <f t="shared" si="32"/>
        <v>3682736</v>
      </c>
      <c r="X351" s="65">
        <f>+X352</f>
        <v>0</v>
      </c>
      <c r="Y351" s="348"/>
      <c r="Z351" s="402">
        <f>+Z352</f>
        <v>317264</v>
      </c>
      <c r="AA351" s="65">
        <f t="shared" si="33"/>
        <v>3682736</v>
      </c>
    </row>
    <row r="352" spans="2:27"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75">
        <v>39824</v>
      </c>
      <c r="V352" s="276">
        <v>317264</v>
      </c>
      <c r="W352" s="276">
        <f t="shared" si="32"/>
        <v>3682736</v>
      </c>
      <c r="X352" s="276">
        <f>V352-Z352</f>
        <v>0</v>
      </c>
      <c r="Y352" s="340" t="s">
        <v>113426</v>
      </c>
      <c r="Z352" s="432">
        <v>317264</v>
      </c>
      <c r="AA352" s="443">
        <f t="shared" si="33"/>
        <v>3682736</v>
      </c>
    </row>
    <row r="353" spans="2:28" x14ac:dyDescent="0.25">
      <c r="B353" s="200" t="s">
        <v>105516</v>
      </c>
      <c r="C353" s="200" t="s">
        <v>106106</v>
      </c>
      <c r="D353" s="200" t="s">
        <v>105917</v>
      </c>
      <c r="E353" s="200"/>
      <c r="F353" s="200"/>
      <c r="G353" s="200"/>
      <c r="H353" s="200"/>
      <c r="I353" s="200"/>
      <c r="J353" s="200"/>
      <c r="K353" s="201"/>
      <c r="L353" s="201"/>
      <c r="M353" s="202" t="s">
        <v>112804</v>
      </c>
      <c r="N353" s="203"/>
      <c r="O353" s="203" t="s">
        <v>112994</v>
      </c>
      <c r="P353" s="204"/>
      <c r="Q353" s="204"/>
      <c r="R353" s="205">
        <f>+R354+R355</f>
        <v>182000000</v>
      </c>
      <c r="S353" s="205"/>
      <c r="T353" s="205"/>
      <c r="U353" s="205"/>
      <c r="V353" s="386"/>
      <c r="W353" s="386">
        <f t="shared" si="32"/>
        <v>182000000</v>
      </c>
      <c r="X353" s="205"/>
      <c r="Y353" s="205"/>
      <c r="Z353" s="413"/>
      <c r="AA353" s="205">
        <f t="shared" si="33"/>
        <v>182000000</v>
      </c>
    </row>
    <row r="354" spans="2:28" x14ac:dyDescent="0.25">
      <c r="B354" s="306" t="s">
        <v>105516</v>
      </c>
      <c r="C354" s="306" t="s">
        <v>106106</v>
      </c>
      <c r="D354" s="306" t="s">
        <v>105917</v>
      </c>
      <c r="E354" s="306" t="s">
        <v>105520</v>
      </c>
      <c r="F354" s="206"/>
      <c r="G354" s="206"/>
      <c r="H354" s="206"/>
      <c r="I354" s="206"/>
      <c r="J354" s="206"/>
      <c r="K354" s="214" t="s">
        <v>112805</v>
      </c>
      <c r="L354" s="207"/>
      <c r="M354" s="208" t="s">
        <v>112806</v>
      </c>
      <c r="N354" s="209" t="s">
        <v>112994</v>
      </c>
      <c r="O354" s="209" t="s">
        <v>113029</v>
      </c>
      <c r="P354" s="210"/>
      <c r="Q354" s="210"/>
      <c r="R354" s="215">
        <v>136000000</v>
      </c>
      <c r="S354" s="216"/>
      <c r="T354" s="216"/>
      <c r="U354" s="216"/>
      <c r="V354" s="216"/>
      <c r="W354" s="430">
        <f t="shared" si="32"/>
        <v>136000000</v>
      </c>
      <c r="X354" s="216"/>
      <c r="Y354" s="216"/>
      <c r="Z354" s="415"/>
      <c r="AA354" s="430">
        <f t="shared" si="33"/>
        <v>136000000</v>
      </c>
    </row>
    <row r="355" spans="2:28" x14ac:dyDescent="0.25">
      <c r="B355" s="306" t="s">
        <v>105516</v>
      </c>
      <c r="C355" s="306" t="s">
        <v>106106</v>
      </c>
      <c r="D355" s="306" t="s">
        <v>105917</v>
      </c>
      <c r="E355" s="306" t="s">
        <v>105917</v>
      </c>
      <c r="F355" s="206"/>
      <c r="G355" s="206"/>
      <c r="H355" s="206"/>
      <c r="I355" s="206"/>
      <c r="J355" s="206"/>
      <c r="K355" s="214" t="s">
        <v>112811</v>
      </c>
      <c r="L355" s="207"/>
      <c r="M355" s="208" t="s">
        <v>113139</v>
      </c>
      <c r="N355" s="209"/>
      <c r="O355" s="209"/>
      <c r="P355" s="210"/>
      <c r="Q355" s="210"/>
      <c r="R355" s="215">
        <f>246000000-200000000</f>
        <v>46000000</v>
      </c>
      <c r="S355" s="216"/>
      <c r="T355" s="216"/>
      <c r="U355" s="216"/>
      <c r="V355" s="216"/>
      <c r="W355" s="430">
        <f t="shared" si="32"/>
        <v>46000000</v>
      </c>
      <c r="X355" s="216"/>
      <c r="Y355" s="216"/>
      <c r="Z355" s="415"/>
      <c r="AA355" s="430">
        <f t="shared" si="33"/>
        <v>46000000</v>
      </c>
    </row>
    <row r="356" spans="2:28" x14ac:dyDescent="0.25">
      <c r="B356" s="200" t="s">
        <v>105516</v>
      </c>
      <c r="C356" s="200" t="s">
        <v>106106</v>
      </c>
      <c r="D356" s="217" t="s">
        <v>105924</v>
      </c>
      <c r="E356" s="200"/>
      <c r="F356" s="200"/>
      <c r="G356" s="200"/>
      <c r="H356" s="200"/>
      <c r="I356" s="200"/>
      <c r="J356" s="200"/>
      <c r="K356" s="200"/>
      <c r="L356" s="201"/>
      <c r="M356" s="202" t="s">
        <v>112822</v>
      </c>
      <c r="N356" s="203"/>
      <c r="O356" s="203" t="s">
        <v>112994</v>
      </c>
      <c r="P356" s="204"/>
      <c r="Q356" s="204"/>
      <c r="R356" s="205">
        <f>R357</f>
        <v>53000000</v>
      </c>
      <c r="S356" s="205"/>
      <c r="T356" s="205"/>
      <c r="U356" s="205"/>
      <c r="V356" s="386"/>
      <c r="W356" s="386">
        <f t="shared" si="32"/>
        <v>53000000</v>
      </c>
      <c r="X356" s="205"/>
      <c r="Y356" s="205"/>
      <c r="Z356" s="413"/>
      <c r="AA356" s="444">
        <f>R356-Z356</f>
        <v>53000000</v>
      </c>
    </row>
    <row r="357" spans="2:28" x14ac:dyDescent="0.25">
      <c r="B357" s="206" t="s">
        <v>105516</v>
      </c>
      <c r="C357" s="206" t="s">
        <v>106106</v>
      </c>
      <c r="D357" s="218" t="s">
        <v>105924</v>
      </c>
      <c r="E357" s="206"/>
      <c r="F357" s="206"/>
      <c r="G357" s="206"/>
      <c r="H357" s="206"/>
      <c r="I357" s="206"/>
      <c r="J357" s="206"/>
      <c r="K357" s="207"/>
      <c r="L357" s="207"/>
      <c r="M357" s="208" t="s">
        <v>112822</v>
      </c>
      <c r="N357" s="209" t="s">
        <v>112994</v>
      </c>
      <c r="O357" s="209" t="s">
        <v>113029</v>
      </c>
      <c r="P357" s="210"/>
      <c r="Q357" s="210"/>
      <c r="R357" s="215">
        <f>R358+R360</f>
        <v>53000000</v>
      </c>
      <c r="S357" s="216"/>
      <c r="T357" s="216"/>
      <c r="U357" s="216"/>
      <c r="V357" s="216"/>
      <c r="W357" s="216">
        <f t="shared" si="32"/>
        <v>53000000</v>
      </c>
      <c r="X357" s="216"/>
      <c r="Y357" s="216"/>
      <c r="Z357" s="415"/>
      <c r="AA357" s="216"/>
    </row>
    <row r="358" spans="2:28" x14ac:dyDescent="0.25">
      <c r="B358" s="231" t="s">
        <v>105516</v>
      </c>
      <c r="C358" s="231" t="s">
        <v>106106</v>
      </c>
      <c r="D358" s="296" t="s">
        <v>105924</v>
      </c>
      <c r="E358" s="297" t="s">
        <v>105520</v>
      </c>
      <c r="F358" s="231"/>
      <c r="G358" s="231"/>
      <c r="H358" s="231"/>
      <c r="I358" s="231"/>
      <c r="J358" s="231"/>
      <c r="K358" s="232"/>
      <c r="L358" s="232"/>
      <c r="M358" s="233" t="s">
        <v>112824</v>
      </c>
      <c r="N358" s="234" t="s">
        <v>112994</v>
      </c>
      <c r="O358" s="234" t="s">
        <v>113029</v>
      </c>
      <c r="P358" s="235"/>
      <c r="Q358" s="235"/>
      <c r="R358" s="298">
        <f>R359</f>
        <v>40000000</v>
      </c>
      <c r="S358" s="299"/>
      <c r="T358" s="299"/>
      <c r="U358" s="299"/>
      <c r="V358" s="388"/>
      <c r="W358" s="388">
        <f t="shared" si="32"/>
        <v>40000000</v>
      </c>
      <c r="X358" s="299"/>
      <c r="Y358" s="299"/>
      <c r="Z358" s="440"/>
      <c r="AA358" s="445">
        <f>R358-Z358</f>
        <v>40000000</v>
      </c>
    </row>
    <row r="359" spans="2:28" x14ac:dyDescent="0.25">
      <c r="B359" s="306" t="s">
        <v>105516</v>
      </c>
      <c r="C359" s="306" t="s">
        <v>106106</v>
      </c>
      <c r="D359" s="309" t="s">
        <v>105924</v>
      </c>
      <c r="E359" s="307" t="s">
        <v>105520</v>
      </c>
      <c r="F359" s="307" t="s">
        <v>105538</v>
      </c>
      <c r="G359" s="206"/>
      <c r="H359" s="206"/>
      <c r="I359" s="206"/>
      <c r="J359" s="206"/>
      <c r="K359" s="207"/>
      <c r="L359" s="207"/>
      <c r="M359" s="208" t="s">
        <v>112830</v>
      </c>
      <c r="N359" s="209" t="s">
        <v>112994</v>
      </c>
      <c r="O359" s="209" t="s">
        <v>113029</v>
      </c>
      <c r="P359" s="210"/>
      <c r="Q359" s="210"/>
      <c r="R359" s="215">
        <v>40000000</v>
      </c>
      <c r="S359" s="216"/>
      <c r="T359" s="216"/>
      <c r="U359" s="216"/>
      <c r="V359" s="216"/>
      <c r="W359" s="216">
        <f t="shared" si="32"/>
        <v>40000000</v>
      </c>
      <c r="X359" s="216"/>
      <c r="Y359" s="216"/>
      <c r="Z359" s="415"/>
      <c r="AA359" s="216"/>
    </row>
    <row r="360" spans="2:28" x14ac:dyDescent="0.25">
      <c r="B360" s="231" t="s">
        <v>105516</v>
      </c>
      <c r="C360" s="231" t="s">
        <v>106106</v>
      </c>
      <c r="D360" s="296" t="s">
        <v>105924</v>
      </c>
      <c r="E360" s="297" t="s">
        <v>105573</v>
      </c>
      <c r="F360" s="297"/>
      <c r="G360" s="231"/>
      <c r="H360" s="231"/>
      <c r="I360" s="231"/>
      <c r="J360" s="231"/>
      <c r="K360" s="232"/>
      <c r="L360" s="232"/>
      <c r="M360" s="233" t="s">
        <v>112832</v>
      </c>
      <c r="N360" s="234" t="s">
        <v>112994</v>
      </c>
      <c r="O360" s="234" t="s">
        <v>113029</v>
      </c>
      <c r="P360" s="235"/>
      <c r="Q360" s="235"/>
      <c r="R360" s="298">
        <f>R361</f>
        <v>13000000</v>
      </c>
      <c r="S360" s="299"/>
      <c r="T360" s="299"/>
      <c r="U360" s="299"/>
      <c r="V360" s="388"/>
      <c r="W360" s="388">
        <f t="shared" si="32"/>
        <v>13000000</v>
      </c>
      <c r="X360" s="299"/>
      <c r="Y360" s="299"/>
      <c r="Z360" s="440"/>
      <c r="AA360" s="445">
        <f>R360-Z360</f>
        <v>13000000</v>
      </c>
    </row>
    <row r="361" spans="2:28" x14ac:dyDescent="0.25">
      <c r="B361" s="306" t="s">
        <v>105516</v>
      </c>
      <c r="C361" s="306" t="s">
        <v>106106</v>
      </c>
      <c r="D361" s="309" t="s">
        <v>105924</v>
      </c>
      <c r="E361" s="307" t="s">
        <v>105573</v>
      </c>
      <c r="F361" s="307" t="s">
        <v>105528</v>
      </c>
      <c r="G361" s="206"/>
      <c r="H361" s="206"/>
      <c r="I361" s="206"/>
      <c r="J361" s="206"/>
      <c r="K361" s="207"/>
      <c r="L361" s="207"/>
      <c r="M361" s="208" t="s">
        <v>112834</v>
      </c>
      <c r="N361" s="209" t="s">
        <v>112994</v>
      </c>
      <c r="O361" s="209" t="s">
        <v>113029</v>
      </c>
      <c r="P361" s="210"/>
      <c r="Q361" s="210"/>
      <c r="R361" s="215">
        <v>13000000</v>
      </c>
      <c r="S361" s="216"/>
      <c r="T361" s="216"/>
      <c r="U361" s="216"/>
      <c r="V361" s="216"/>
      <c r="W361" s="216">
        <f t="shared" si="32"/>
        <v>13000000</v>
      </c>
      <c r="X361" s="216"/>
      <c r="Y361" s="216"/>
      <c r="Z361" s="415"/>
      <c r="AA361" s="216"/>
    </row>
    <row r="362" spans="2:28" x14ac:dyDescent="0.25">
      <c r="B362" s="219" t="s">
        <v>113140</v>
      </c>
      <c r="C362" s="219"/>
      <c r="D362" s="219"/>
      <c r="E362" s="219"/>
      <c r="F362" s="219"/>
      <c r="G362" s="219"/>
      <c r="H362" s="219"/>
      <c r="I362" s="219"/>
      <c r="J362" s="219"/>
      <c r="K362" s="220"/>
      <c r="L362" s="220"/>
      <c r="M362" s="221" t="s">
        <v>113141</v>
      </c>
      <c r="N362" s="222"/>
      <c r="O362" s="222" t="s">
        <v>112994</v>
      </c>
      <c r="P362" s="223"/>
      <c r="Q362" s="223"/>
      <c r="R362" s="224">
        <f>+R363</f>
        <v>38560000000</v>
      </c>
      <c r="S362" s="224"/>
      <c r="T362" s="224"/>
      <c r="U362" s="224"/>
      <c r="V362" s="389">
        <f t="shared" ref="V362:Z363" si="35">+V363</f>
        <v>34354099806.630001</v>
      </c>
      <c r="W362" s="389">
        <f t="shared" si="32"/>
        <v>4205900193.3699989</v>
      </c>
      <c r="X362" s="224">
        <f t="shared" si="35"/>
        <v>6925045040.0500002</v>
      </c>
      <c r="Y362" s="224"/>
      <c r="Z362" s="416">
        <f t="shared" si="35"/>
        <v>27429054766.580002</v>
      </c>
      <c r="AA362" s="224">
        <f t="shared" ref="AA362:AA391" si="36">R362-Z362</f>
        <v>11130945233.419998</v>
      </c>
      <c r="AB362" s="427"/>
    </row>
    <row r="363" spans="2:28" ht="29.25" customHeight="1" x14ac:dyDescent="0.25">
      <c r="B363" s="225" t="s">
        <v>113140</v>
      </c>
      <c r="C363" s="225">
        <v>1505</v>
      </c>
      <c r="D363" s="225"/>
      <c r="E363" s="225"/>
      <c r="F363" s="225"/>
      <c r="G363" s="225"/>
      <c r="H363" s="225"/>
      <c r="I363" s="225"/>
      <c r="J363" s="225"/>
      <c r="K363" s="226"/>
      <c r="L363" s="226"/>
      <c r="M363" s="227" t="s">
        <v>113142</v>
      </c>
      <c r="N363" s="228"/>
      <c r="O363" s="228" t="s">
        <v>112994</v>
      </c>
      <c r="P363" s="229"/>
      <c r="Q363" s="229"/>
      <c r="R363" s="230">
        <f>+R364</f>
        <v>38560000000</v>
      </c>
      <c r="S363" s="230"/>
      <c r="T363" s="230"/>
      <c r="U363" s="230"/>
      <c r="V363" s="390">
        <f t="shared" si="35"/>
        <v>34354099806.630001</v>
      </c>
      <c r="W363" s="390">
        <f t="shared" si="32"/>
        <v>4205900193.3699989</v>
      </c>
      <c r="X363" s="230">
        <f t="shared" si="35"/>
        <v>6925045040.0500002</v>
      </c>
      <c r="Y363" s="230"/>
      <c r="Z363" s="417">
        <f t="shared" si="35"/>
        <v>27429054766.580002</v>
      </c>
      <c r="AA363" s="230">
        <f t="shared" si="36"/>
        <v>11130945233.419998</v>
      </c>
    </row>
    <row r="364" spans="2:28" x14ac:dyDescent="0.25">
      <c r="B364" s="231" t="s">
        <v>113140</v>
      </c>
      <c r="C364" s="231">
        <v>1505</v>
      </c>
      <c r="D364" s="297" t="s">
        <v>113143</v>
      </c>
      <c r="E364" s="231"/>
      <c r="F364" s="231"/>
      <c r="G364" s="231"/>
      <c r="H364" s="231"/>
      <c r="I364" s="231"/>
      <c r="J364" s="231"/>
      <c r="K364" s="232"/>
      <c r="L364" s="232"/>
      <c r="M364" s="233" t="s">
        <v>113144</v>
      </c>
      <c r="N364" s="234"/>
      <c r="O364" s="234" t="s">
        <v>112994</v>
      </c>
      <c r="P364" s="235"/>
      <c r="Q364" s="235"/>
      <c r="R364" s="236">
        <f>R365+R395</f>
        <v>38560000000</v>
      </c>
      <c r="S364" s="236"/>
      <c r="T364" s="236"/>
      <c r="U364" s="236"/>
      <c r="V364" s="391">
        <f>V365+V395</f>
        <v>34354099806.630001</v>
      </c>
      <c r="W364" s="391">
        <f t="shared" si="32"/>
        <v>4205900193.3699989</v>
      </c>
      <c r="X364" s="236">
        <f>X365+X395</f>
        <v>6925045040.0500002</v>
      </c>
      <c r="Y364" s="236"/>
      <c r="Z364" s="418">
        <f>Z365+Z395</f>
        <v>27429054766.580002</v>
      </c>
      <c r="AA364" s="236">
        <f t="shared" si="36"/>
        <v>11130945233.419998</v>
      </c>
    </row>
    <row r="365" spans="2:28" ht="32.25" customHeight="1" x14ac:dyDescent="0.25">
      <c r="B365" s="212" t="s">
        <v>113140</v>
      </c>
      <c r="C365" s="212">
        <v>1505</v>
      </c>
      <c r="D365" s="212" t="s">
        <v>113143</v>
      </c>
      <c r="E365" s="300" t="s">
        <v>105675</v>
      </c>
      <c r="F365" s="212"/>
      <c r="G365" s="212"/>
      <c r="H365" s="212"/>
      <c r="I365" s="212"/>
      <c r="J365" s="212"/>
      <c r="K365" s="61"/>
      <c r="L365" s="61"/>
      <c r="M365" s="62" t="s">
        <v>113313</v>
      </c>
      <c r="N365" s="63"/>
      <c r="O365" s="63" t="s">
        <v>112994</v>
      </c>
      <c r="P365" s="64"/>
      <c r="Q365" s="64"/>
      <c r="R365" s="65">
        <f>R366</f>
        <v>20795000000</v>
      </c>
      <c r="S365" s="66"/>
      <c r="T365" s="67"/>
      <c r="U365" s="63" t="s">
        <v>112994</v>
      </c>
      <c r="V365" s="376">
        <f t="shared" ref="V365:X366" si="37">V366</f>
        <v>20486655521.010002</v>
      </c>
      <c r="W365" s="376">
        <f t="shared" si="32"/>
        <v>308344478.98999786</v>
      </c>
      <c r="X365" s="65">
        <f t="shared" si="37"/>
        <v>3920485468.0500002</v>
      </c>
      <c r="Y365" s="333"/>
      <c r="Z365" s="402">
        <f>Z366</f>
        <v>16566170052.960001</v>
      </c>
      <c r="AA365" s="65">
        <f t="shared" si="36"/>
        <v>4228829947.039999</v>
      </c>
    </row>
    <row r="366" spans="2:28" ht="41.25" customHeight="1" x14ac:dyDescent="0.25">
      <c r="B366" s="212" t="s">
        <v>113140</v>
      </c>
      <c r="C366" s="212">
        <v>1505</v>
      </c>
      <c r="D366" s="212" t="s">
        <v>113143</v>
      </c>
      <c r="E366" s="300" t="s">
        <v>105675</v>
      </c>
      <c r="F366" s="212" t="s">
        <v>113322</v>
      </c>
      <c r="G366" s="212"/>
      <c r="H366" s="212"/>
      <c r="I366" s="212"/>
      <c r="J366" s="212"/>
      <c r="K366" s="61"/>
      <c r="L366" s="61"/>
      <c r="M366" s="62" t="s">
        <v>113323</v>
      </c>
      <c r="N366" s="63"/>
      <c r="O366" s="63"/>
      <c r="P366" s="64"/>
      <c r="Q366" s="64"/>
      <c r="R366" s="65">
        <f>R367</f>
        <v>20795000000</v>
      </c>
      <c r="S366" s="66"/>
      <c r="T366" s="67"/>
      <c r="U366" s="63" t="s">
        <v>112994</v>
      </c>
      <c r="V366" s="376">
        <f t="shared" si="37"/>
        <v>20486655521.010002</v>
      </c>
      <c r="W366" s="376">
        <f t="shared" si="32"/>
        <v>308344478.98999786</v>
      </c>
      <c r="X366" s="65">
        <f t="shared" si="37"/>
        <v>3920485468.0500002</v>
      </c>
      <c r="Y366" s="333"/>
      <c r="Z366" s="402">
        <f>Z367</f>
        <v>16566170052.960001</v>
      </c>
      <c r="AA366" s="65">
        <f t="shared" si="36"/>
        <v>4228829947.039999</v>
      </c>
    </row>
    <row r="367" spans="2:28" ht="63.75" customHeight="1" x14ac:dyDescent="0.25">
      <c r="B367" s="303" t="s">
        <v>113140</v>
      </c>
      <c r="C367" s="303">
        <v>1505</v>
      </c>
      <c r="D367" s="303" t="s">
        <v>113143</v>
      </c>
      <c r="E367" s="304" t="s">
        <v>105675</v>
      </c>
      <c r="F367" s="303" t="s">
        <v>113322</v>
      </c>
      <c r="G367" s="303">
        <v>1505006</v>
      </c>
      <c r="H367" s="239"/>
      <c r="I367" s="239"/>
      <c r="J367" s="239"/>
      <c r="K367" s="239"/>
      <c r="L367" s="239"/>
      <c r="M367" s="33" t="s">
        <v>113324</v>
      </c>
      <c r="N367" s="240"/>
      <c r="O367" s="240" t="s">
        <v>112994</v>
      </c>
      <c r="P367" s="241"/>
      <c r="Q367" s="241"/>
      <c r="R367" s="245">
        <f>R368</f>
        <v>20795000000</v>
      </c>
      <c r="S367" s="246"/>
      <c r="T367" s="247"/>
      <c r="U367" s="247"/>
      <c r="V367" s="392">
        <f>V368</f>
        <v>20486655521.010002</v>
      </c>
      <c r="W367" s="392">
        <f t="shared" si="32"/>
        <v>308344478.98999786</v>
      </c>
      <c r="X367" s="245">
        <f>X368</f>
        <v>3920485468.0500002</v>
      </c>
      <c r="Y367" s="349"/>
      <c r="Z367" s="419">
        <f>Z368</f>
        <v>16566170052.960001</v>
      </c>
      <c r="AA367" s="245">
        <f t="shared" si="36"/>
        <v>4228829947.039999</v>
      </c>
    </row>
    <row r="368" spans="2:28" ht="63.75" customHeight="1" x14ac:dyDescent="0.25">
      <c r="B368" s="311" t="s">
        <v>113140</v>
      </c>
      <c r="C368" s="311">
        <v>1505</v>
      </c>
      <c r="D368" s="311" t="s">
        <v>113143</v>
      </c>
      <c r="E368" s="312" t="s">
        <v>105675</v>
      </c>
      <c r="F368" s="311" t="s">
        <v>113322</v>
      </c>
      <c r="G368" s="311">
        <v>1505006</v>
      </c>
      <c r="H368" s="311" t="s">
        <v>105573</v>
      </c>
      <c r="I368" s="311"/>
      <c r="J368" s="311"/>
      <c r="K368" s="311"/>
      <c r="L368" s="311"/>
      <c r="M368" s="313" t="s">
        <v>113325</v>
      </c>
      <c r="N368" s="79"/>
      <c r="O368" s="79"/>
      <c r="P368" s="80"/>
      <c r="Q368" s="80"/>
      <c r="R368" s="81">
        <f>SUM(R369:R394)</f>
        <v>20795000000</v>
      </c>
      <c r="S368" s="82"/>
      <c r="T368" s="314"/>
      <c r="U368" s="363"/>
      <c r="V368" s="393">
        <f>SUM(V369:V394)</f>
        <v>20486655521.010002</v>
      </c>
      <c r="W368" s="393">
        <f t="shared" si="32"/>
        <v>308344478.98999786</v>
      </c>
      <c r="X368" s="364">
        <f>SUM(X369:X394)</f>
        <v>3920485468.0500002</v>
      </c>
      <c r="Y368" s="365"/>
      <c r="Z368" s="420">
        <f>SUM(Z369:Z394)</f>
        <v>16566170052.960001</v>
      </c>
      <c r="AA368" s="364">
        <f t="shared" si="36"/>
        <v>4228829947.039999</v>
      </c>
      <c r="AB368" s="420"/>
    </row>
    <row r="369" spans="2:28" ht="27" customHeight="1" x14ac:dyDescent="0.25">
      <c r="B369" s="84"/>
      <c r="C369" s="85"/>
      <c r="D369" s="85"/>
      <c r="E369" s="85"/>
      <c r="F369" s="85"/>
      <c r="G369" s="85"/>
      <c r="H369" s="85"/>
      <c r="I369" s="85"/>
      <c r="J369" s="86"/>
      <c r="K369" s="86" t="s">
        <v>113154</v>
      </c>
      <c r="L369" s="301" t="s">
        <v>113145</v>
      </c>
      <c r="M369" s="88" t="s">
        <v>113153</v>
      </c>
      <c r="N369" s="89">
        <v>45163</v>
      </c>
      <c r="O369" s="89" t="s">
        <v>113008</v>
      </c>
      <c r="P369" s="90" t="s">
        <v>113020</v>
      </c>
      <c r="Q369" s="90" t="s">
        <v>113273</v>
      </c>
      <c r="R369" s="111">
        <f>1160000000+364924765</f>
        <v>1524924765</v>
      </c>
      <c r="S369" s="127"/>
      <c r="T369" s="88" t="s">
        <v>113147</v>
      </c>
      <c r="U369" s="275">
        <v>1224</v>
      </c>
      <c r="V369" s="276">
        <v>1524924765</v>
      </c>
      <c r="W369" s="276">
        <f t="shared" si="32"/>
        <v>0</v>
      </c>
      <c r="X369" s="276">
        <f>V369-Z369</f>
        <v>0</v>
      </c>
      <c r="Y369" s="340" t="s">
        <v>113427</v>
      </c>
      <c r="Z369" s="432">
        <v>1524924765</v>
      </c>
      <c r="AA369" s="443">
        <f t="shared" si="36"/>
        <v>0</v>
      </c>
    </row>
    <row r="370" spans="2:28" ht="38.25" customHeight="1" x14ac:dyDescent="0.25">
      <c r="B370" s="84"/>
      <c r="C370" s="85"/>
      <c r="D370" s="85"/>
      <c r="E370" s="85"/>
      <c r="F370" s="85"/>
      <c r="G370" s="85"/>
      <c r="H370" s="85"/>
      <c r="I370" s="85"/>
      <c r="J370" s="86"/>
      <c r="K370" s="86" t="s">
        <v>113154</v>
      </c>
      <c r="L370" s="51">
        <v>81101500</v>
      </c>
      <c r="M370" s="88" t="s">
        <v>113155</v>
      </c>
      <c r="N370" s="89">
        <v>45222</v>
      </c>
      <c r="O370" s="89" t="s">
        <v>113067</v>
      </c>
      <c r="P370" s="90" t="s">
        <v>113020</v>
      </c>
      <c r="Q370" s="90" t="s">
        <v>113274</v>
      </c>
      <c r="R370" s="111">
        <f>177400000+39348068</f>
        <v>216748068</v>
      </c>
      <c r="S370" s="127"/>
      <c r="T370" s="88" t="s">
        <v>113147</v>
      </c>
      <c r="U370" s="275">
        <v>1324</v>
      </c>
      <c r="V370" s="276">
        <v>216748067.41999999</v>
      </c>
      <c r="W370" s="276">
        <f t="shared" si="32"/>
        <v>0.58000001311302185</v>
      </c>
      <c r="X370" s="276">
        <f t="shared" ref="X370:X394" si="38">V370-Z370</f>
        <v>0</v>
      </c>
      <c r="Y370" s="340" t="s">
        <v>113428</v>
      </c>
      <c r="Z370" s="432">
        <v>216748067.41999999</v>
      </c>
      <c r="AA370" s="443">
        <f t="shared" si="36"/>
        <v>0.58000001311302185</v>
      </c>
    </row>
    <row r="371" spans="2:28" ht="44.25" customHeight="1" x14ac:dyDescent="0.25">
      <c r="B371" s="84"/>
      <c r="C371" s="85"/>
      <c r="D371" s="85"/>
      <c r="E371" s="85"/>
      <c r="F371" s="85"/>
      <c r="G371" s="85"/>
      <c r="H371" s="85"/>
      <c r="I371" s="85"/>
      <c r="J371" s="86"/>
      <c r="K371" s="86" t="s">
        <v>113154</v>
      </c>
      <c r="L371" s="87" t="s">
        <v>113145</v>
      </c>
      <c r="M371" s="88" t="s">
        <v>113158</v>
      </c>
      <c r="N371" s="89">
        <v>45163</v>
      </c>
      <c r="O371" s="89" t="s">
        <v>113057</v>
      </c>
      <c r="P371" s="90" t="s">
        <v>113020</v>
      </c>
      <c r="Q371" s="90" t="s">
        <v>113273</v>
      </c>
      <c r="R371" s="111">
        <f>1754000000-364924765-39348068-6166041</f>
        <v>1343561126</v>
      </c>
      <c r="S371" s="127"/>
      <c r="T371" s="88" t="s">
        <v>113147</v>
      </c>
      <c r="U371" s="275">
        <v>1224</v>
      </c>
      <c r="V371" s="276">
        <v>1343561126</v>
      </c>
      <c r="W371" s="276">
        <f t="shared" si="32"/>
        <v>0</v>
      </c>
      <c r="X371" s="276">
        <f t="shared" si="38"/>
        <v>0</v>
      </c>
      <c r="Y371" s="340" t="s">
        <v>113427</v>
      </c>
      <c r="Z371" s="432">
        <v>1343561126</v>
      </c>
      <c r="AA371" s="443">
        <f t="shared" si="36"/>
        <v>0</v>
      </c>
      <c r="AB371" s="424">
        <f t="shared" ref="AB371:AB391" si="39">R371-V371</f>
        <v>0</v>
      </c>
    </row>
    <row r="372" spans="2:28" ht="30" x14ac:dyDescent="0.25">
      <c r="B372" s="84"/>
      <c r="C372" s="85"/>
      <c r="D372" s="85"/>
      <c r="E372" s="85"/>
      <c r="F372" s="85"/>
      <c r="G372" s="85"/>
      <c r="H372" s="85"/>
      <c r="I372" s="85"/>
      <c r="J372" s="86"/>
      <c r="K372" s="86" t="s">
        <v>113154</v>
      </c>
      <c r="L372" s="51">
        <v>81101500</v>
      </c>
      <c r="M372" s="88" t="s">
        <v>113159</v>
      </c>
      <c r="N372" s="89">
        <v>45222</v>
      </c>
      <c r="O372" s="89" t="s">
        <v>113057</v>
      </c>
      <c r="P372" s="90" t="s">
        <v>113020</v>
      </c>
      <c r="Q372" s="90" t="s">
        <v>113274</v>
      </c>
      <c r="R372" s="111">
        <f>178500000+6166041+21943297.82</f>
        <v>206609338.81999999</v>
      </c>
      <c r="S372" s="127"/>
      <c r="T372" s="88" t="s">
        <v>113147</v>
      </c>
      <c r="U372" s="275">
        <v>1324</v>
      </c>
      <c r="V372" s="276">
        <v>206609338.81999999</v>
      </c>
      <c r="W372" s="276">
        <f t="shared" si="32"/>
        <v>0</v>
      </c>
      <c r="X372" s="276">
        <f t="shared" si="38"/>
        <v>0</v>
      </c>
      <c r="Y372" s="340" t="s">
        <v>113428</v>
      </c>
      <c r="Z372" s="432">
        <v>206609338.81999999</v>
      </c>
      <c r="AA372" s="443">
        <f t="shared" si="36"/>
        <v>0</v>
      </c>
      <c r="AB372" s="424">
        <f t="shared" si="39"/>
        <v>0</v>
      </c>
    </row>
    <row r="373" spans="2:28" ht="25.5" customHeight="1" x14ac:dyDescent="0.25">
      <c r="B373" s="84"/>
      <c r="C373" s="85"/>
      <c r="D373" s="85"/>
      <c r="E373" s="85"/>
      <c r="F373" s="85"/>
      <c r="G373" s="85"/>
      <c r="H373" s="85"/>
      <c r="I373" s="85"/>
      <c r="J373" s="86"/>
      <c r="K373" s="86" t="s">
        <v>113154</v>
      </c>
      <c r="L373" s="87" t="s">
        <v>113145</v>
      </c>
      <c r="M373" s="88" t="s">
        <v>113181</v>
      </c>
      <c r="N373" s="89">
        <v>45163</v>
      </c>
      <c r="O373" s="89" t="s">
        <v>113057</v>
      </c>
      <c r="P373" s="90" t="s">
        <v>113020</v>
      </c>
      <c r="Q373" s="90" t="s">
        <v>113273</v>
      </c>
      <c r="R373" s="111">
        <f>1655616086.67-21943297.82-43835356.02-195000000-404845.31</f>
        <v>1394432587.5200002</v>
      </c>
      <c r="S373" s="127"/>
      <c r="T373" s="88" t="s">
        <v>113147</v>
      </c>
      <c r="U373" s="275">
        <v>1224</v>
      </c>
      <c r="V373" s="276">
        <v>1394432587.52</v>
      </c>
      <c r="W373" s="276">
        <f t="shared" si="32"/>
        <v>0</v>
      </c>
      <c r="X373" s="276">
        <f t="shared" si="38"/>
        <v>0</v>
      </c>
      <c r="Y373" s="340" t="s">
        <v>113427</v>
      </c>
      <c r="Z373" s="432">
        <v>1394432587.52</v>
      </c>
      <c r="AA373" s="443">
        <f t="shared" si="36"/>
        <v>0</v>
      </c>
      <c r="AB373" s="424">
        <f t="shared" si="39"/>
        <v>0</v>
      </c>
    </row>
    <row r="374" spans="2:28" ht="24" customHeight="1" x14ac:dyDescent="0.25">
      <c r="B374" s="84"/>
      <c r="C374" s="85"/>
      <c r="D374" s="85"/>
      <c r="E374" s="85"/>
      <c r="F374" s="85"/>
      <c r="G374" s="85"/>
      <c r="H374" s="85"/>
      <c r="I374" s="85"/>
      <c r="J374" s="86"/>
      <c r="K374" s="86" t="s">
        <v>113154</v>
      </c>
      <c r="L374" s="87">
        <v>81101500</v>
      </c>
      <c r="M374" s="88" t="s">
        <v>113182</v>
      </c>
      <c r="N374" s="89">
        <v>45222</v>
      </c>
      <c r="O374" s="89" t="s">
        <v>113057</v>
      </c>
      <c r="P374" s="90" t="s">
        <v>113020</v>
      </c>
      <c r="Q374" s="90" t="s">
        <v>113274</v>
      </c>
      <c r="R374" s="111">
        <f>160005447.8+43835356.02</f>
        <v>203840803.82000002</v>
      </c>
      <c r="S374" s="127"/>
      <c r="T374" s="88" t="s">
        <v>113147</v>
      </c>
      <c r="U374" s="275">
        <v>1324</v>
      </c>
      <c r="V374" s="276">
        <v>203840803.81999999</v>
      </c>
      <c r="W374" s="276">
        <f t="shared" si="32"/>
        <v>0</v>
      </c>
      <c r="X374" s="276">
        <f t="shared" si="38"/>
        <v>0</v>
      </c>
      <c r="Y374" s="340" t="s">
        <v>113428</v>
      </c>
      <c r="Z374" s="432">
        <v>203840803.81999999</v>
      </c>
      <c r="AA374" s="443">
        <f t="shared" si="36"/>
        <v>0</v>
      </c>
      <c r="AB374" s="424">
        <f t="shared" si="39"/>
        <v>0</v>
      </c>
    </row>
    <row r="375" spans="2:28" ht="36.75" customHeight="1" x14ac:dyDescent="0.25">
      <c r="B375" s="84"/>
      <c r="C375" s="85"/>
      <c r="D375" s="85"/>
      <c r="E375" s="85"/>
      <c r="F375" s="85"/>
      <c r="G375" s="85"/>
      <c r="H375" s="85"/>
      <c r="I375" s="85"/>
      <c r="J375" s="86"/>
      <c r="K375" s="86" t="s">
        <v>113154</v>
      </c>
      <c r="L375" s="87" t="s">
        <v>113145</v>
      </c>
      <c r="M375" s="88" t="s">
        <v>113183</v>
      </c>
      <c r="N375" s="89">
        <v>45651</v>
      </c>
      <c r="O375" s="89" t="s">
        <v>113057</v>
      </c>
      <c r="P375" s="90" t="s">
        <v>113020</v>
      </c>
      <c r="Q375" s="90" t="s">
        <v>113273</v>
      </c>
      <c r="R375" s="111">
        <f>2900000000-7147237-29002880-16094179-270578490.23</f>
        <v>2577177213.77</v>
      </c>
      <c r="S375" s="127"/>
      <c r="T375" s="88" t="s">
        <v>113147</v>
      </c>
      <c r="U375" s="275">
        <v>10224</v>
      </c>
      <c r="V375" s="361">
        <v>2577177213.77</v>
      </c>
      <c r="W375" s="361">
        <f t="shared" si="32"/>
        <v>0</v>
      </c>
      <c r="X375" s="276">
        <f t="shared" si="38"/>
        <v>0</v>
      </c>
      <c r="Y375" s="340" t="s">
        <v>113432</v>
      </c>
      <c r="Z375" s="432">
        <v>2577177213.77</v>
      </c>
      <c r="AA375" s="443">
        <f t="shared" si="36"/>
        <v>0</v>
      </c>
      <c r="AB375" s="424">
        <f t="shared" si="39"/>
        <v>0</v>
      </c>
    </row>
    <row r="376" spans="2:28" ht="24" customHeight="1" x14ac:dyDescent="0.25">
      <c r="B376" s="84"/>
      <c r="C376" s="85"/>
      <c r="D376" s="85"/>
      <c r="E376" s="85"/>
      <c r="F376" s="85"/>
      <c r="G376" s="85"/>
      <c r="H376" s="85"/>
      <c r="I376" s="85"/>
      <c r="J376" s="86"/>
      <c r="K376" s="86" t="s">
        <v>113154</v>
      </c>
      <c r="L376" s="87">
        <v>81101500</v>
      </c>
      <c r="M376" s="88" t="s">
        <v>113184</v>
      </c>
      <c r="N376" s="89">
        <v>45651</v>
      </c>
      <c r="O376" s="89" t="s">
        <v>113057</v>
      </c>
      <c r="P376" s="90" t="s">
        <v>113020</v>
      </c>
      <c r="Q376" s="90" t="s">
        <v>113274</v>
      </c>
      <c r="R376" s="111">
        <f>300000000+8833032+1166968-99010</f>
        <v>309900990</v>
      </c>
      <c r="S376" s="127"/>
      <c r="T376" s="88" t="s">
        <v>113147</v>
      </c>
      <c r="U376" s="275">
        <v>10624</v>
      </c>
      <c r="V376" s="361">
        <v>309900990</v>
      </c>
      <c r="W376" s="361">
        <f t="shared" si="32"/>
        <v>0</v>
      </c>
      <c r="X376" s="276">
        <f t="shared" si="38"/>
        <v>0</v>
      </c>
      <c r="Y376" s="340" t="s">
        <v>113437</v>
      </c>
      <c r="Z376" s="432">
        <v>309900990</v>
      </c>
      <c r="AA376" s="443">
        <f t="shared" si="36"/>
        <v>0</v>
      </c>
      <c r="AB376" s="424">
        <f t="shared" si="39"/>
        <v>0</v>
      </c>
    </row>
    <row r="377" spans="2:28" ht="33.75" customHeight="1" x14ac:dyDescent="0.25">
      <c r="B377" s="84"/>
      <c r="C377" s="85"/>
      <c r="D377" s="85"/>
      <c r="E377" s="85"/>
      <c r="F377" s="85"/>
      <c r="G377" s="85"/>
      <c r="H377" s="85"/>
      <c r="I377" s="85"/>
      <c r="J377" s="86"/>
      <c r="K377" s="86" t="s">
        <v>113154</v>
      </c>
      <c r="L377" s="87" t="s">
        <v>113145</v>
      </c>
      <c r="M377" s="88" t="s">
        <v>113185</v>
      </c>
      <c r="N377" s="89">
        <v>45651</v>
      </c>
      <c r="O377" s="89" t="s">
        <v>113057</v>
      </c>
      <c r="P377" s="90" t="s">
        <v>113020</v>
      </c>
      <c r="Q377" s="90" t="s">
        <v>113273</v>
      </c>
      <c r="R377" s="111">
        <f>2800000000+88483032-32946210.15-22400607.85</f>
        <v>2833136214</v>
      </c>
      <c r="S377" s="127"/>
      <c r="T377" s="88" t="s">
        <v>113147</v>
      </c>
      <c r="U377" s="275">
        <v>10024</v>
      </c>
      <c r="V377" s="361">
        <v>2833136214</v>
      </c>
      <c r="W377" s="361">
        <f t="shared" si="32"/>
        <v>0</v>
      </c>
      <c r="X377" s="276">
        <f t="shared" si="38"/>
        <v>0</v>
      </c>
      <c r="Y377" s="340" t="s">
        <v>113435</v>
      </c>
      <c r="Z377" s="432">
        <v>2833136214</v>
      </c>
      <c r="AA377" s="443">
        <f t="shared" si="36"/>
        <v>0</v>
      </c>
      <c r="AB377" s="424">
        <f t="shared" si="39"/>
        <v>0</v>
      </c>
    </row>
    <row r="378" spans="2:28" ht="26.25" customHeight="1" x14ac:dyDescent="0.25">
      <c r="B378" s="84"/>
      <c r="C378" s="85"/>
      <c r="D378" s="85"/>
      <c r="E378" s="85"/>
      <c r="F378" s="85"/>
      <c r="G378" s="85"/>
      <c r="H378" s="85"/>
      <c r="I378" s="85"/>
      <c r="J378" s="86"/>
      <c r="K378" s="86" t="s">
        <v>113154</v>
      </c>
      <c r="L378" s="87">
        <v>81101500</v>
      </c>
      <c r="M378" s="88" t="s">
        <v>113186</v>
      </c>
      <c r="N378" s="89">
        <v>45651</v>
      </c>
      <c r="O378" s="89" t="s">
        <v>113057</v>
      </c>
      <c r="P378" s="90" t="s">
        <v>113020</v>
      </c>
      <c r="Q378" s="90" t="s">
        <v>113274</v>
      </c>
      <c r="R378" s="111">
        <f>290000000+7147237+22852763</f>
        <v>320000000</v>
      </c>
      <c r="S378" s="127"/>
      <c r="T378" s="88" t="s">
        <v>113147</v>
      </c>
      <c r="U378" s="275">
        <v>10424</v>
      </c>
      <c r="V378" s="276">
        <v>320000000</v>
      </c>
      <c r="W378" s="276">
        <f t="shared" si="32"/>
        <v>0</v>
      </c>
      <c r="X378" s="276">
        <f t="shared" si="38"/>
        <v>0</v>
      </c>
      <c r="Y378" s="340" t="s">
        <v>113438</v>
      </c>
      <c r="Z378" s="432">
        <v>320000000</v>
      </c>
      <c r="AA378" s="443">
        <f t="shared" si="36"/>
        <v>0</v>
      </c>
      <c r="AB378" s="424">
        <f t="shared" si="39"/>
        <v>0</v>
      </c>
    </row>
    <row r="379" spans="2:28" ht="24" customHeight="1" x14ac:dyDescent="0.25">
      <c r="B379" s="84"/>
      <c r="C379" s="85"/>
      <c r="D379" s="85"/>
      <c r="E379" s="85"/>
      <c r="F379" s="85"/>
      <c r="G379" s="85"/>
      <c r="H379" s="85"/>
      <c r="I379" s="85"/>
      <c r="J379" s="86"/>
      <c r="K379" s="86" t="s">
        <v>113154</v>
      </c>
      <c r="L379" s="87" t="s">
        <v>113145</v>
      </c>
      <c r="M379" s="88" t="s">
        <v>113187</v>
      </c>
      <c r="N379" s="89">
        <v>45651</v>
      </c>
      <c r="O379" s="89" t="s">
        <v>113163</v>
      </c>
      <c r="P379" s="90" t="s">
        <v>113020</v>
      </c>
      <c r="Q379" s="90" t="s">
        <v>113273</v>
      </c>
      <c r="R379" s="111">
        <f>2400000000-8833032-22852763-51203229.67</f>
        <v>2317110975.3299999</v>
      </c>
      <c r="S379" s="127"/>
      <c r="T379" s="88" t="s">
        <v>113147</v>
      </c>
      <c r="U379" s="275">
        <v>9924</v>
      </c>
      <c r="V379" s="361">
        <v>2317110975.3299999</v>
      </c>
      <c r="W379" s="361">
        <f t="shared" si="32"/>
        <v>0</v>
      </c>
      <c r="X379" s="276">
        <f t="shared" si="38"/>
        <v>0</v>
      </c>
      <c r="Y379" s="340" t="s">
        <v>113431</v>
      </c>
      <c r="Z379" s="432">
        <v>2317110975.3299999</v>
      </c>
      <c r="AA379" s="443">
        <f t="shared" si="36"/>
        <v>0</v>
      </c>
      <c r="AB379" s="424">
        <f t="shared" si="39"/>
        <v>0</v>
      </c>
    </row>
    <row r="380" spans="2:28" ht="26.25" customHeight="1" x14ac:dyDescent="0.25">
      <c r="B380" s="84"/>
      <c r="C380" s="85"/>
      <c r="D380" s="85"/>
      <c r="E380" s="85"/>
      <c r="F380" s="85"/>
      <c r="G380" s="85"/>
      <c r="H380" s="85"/>
      <c r="I380" s="85"/>
      <c r="J380" s="86"/>
      <c r="K380" s="86" t="s">
        <v>113154</v>
      </c>
      <c r="L380" s="87">
        <v>81101500</v>
      </c>
      <c r="M380" s="88" t="s">
        <v>113188</v>
      </c>
      <c r="N380" s="89">
        <v>45651</v>
      </c>
      <c r="O380" s="89" t="s">
        <v>113163</v>
      </c>
      <c r="P380" s="90" t="s">
        <v>113020</v>
      </c>
      <c r="Q380" s="90" t="s">
        <v>113274</v>
      </c>
      <c r="R380" s="111">
        <f>270000000+29002880-4297000</f>
        <v>294705880</v>
      </c>
      <c r="S380" s="127"/>
      <c r="T380" s="88" t="s">
        <v>113147</v>
      </c>
      <c r="U380" s="275">
        <v>10324</v>
      </c>
      <c r="V380" s="361">
        <v>294705880</v>
      </c>
      <c r="W380" s="361">
        <f t="shared" si="32"/>
        <v>0</v>
      </c>
      <c r="X380" s="276">
        <f t="shared" si="38"/>
        <v>0</v>
      </c>
      <c r="Y380" s="340" t="s">
        <v>113434</v>
      </c>
      <c r="Z380" s="432">
        <v>294705880</v>
      </c>
      <c r="AA380" s="443">
        <f t="shared" si="36"/>
        <v>0</v>
      </c>
      <c r="AB380" s="424">
        <f t="shared" si="39"/>
        <v>0</v>
      </c>
    </row>
    <row r="381" spans="2:28" ht="27.75" customHeight="1" x14ac:dyDescent="0.25">
      <c r="B381" s="84"/>
      <c r="C381" s="85"/>
      <c r="D381" s="85"/>
      <c r="E381" s="85"/>
      <c r="F381" s="85"/>
      <c r="G381" s="85"/>
      <c r="H381" s="85"/>
      <c r="I381" s="85"/>
      <c r="J381" s="86"/>
      <c r="K381" s="86" t="s">
        <v>113154</v>
      </c>
      <c r="L381" s="87" t="s">
        <v>113145</v>
      </c>
      <c r="M381" s="88" t="s">
        <v>113156</v>
      </c>
      <c r="N381" s="89">
        <v>45651</v>
      </c>
      <c r="O381" s="89" t="s">
        <v>113163</v>
      </c>
      <c r="P381" s="90" t="s">
        <v>113020</v>
      </c>
      <c r="Q381" s="90" t="s">
        <v>113273</v>
      </c>
      <c r="R381" s="111">
        <f>2900000000-1166968-88483032-266883700.62</f>
        <v>2543466299.3800001</v>
      </c>
      <c r="S381" s="127"/>
      <c r="T381" s="88" t="s">
        <v>113147</v>
      </c>
      <c r="U381" s="275">
        <v>10124</v>
      </c>
      <c r="V381" s="361">
        <v>2543466299.3800001</v>
      </c>
      <c r="W381" s="361">
        <f t="shared" si="32"/>
        <v>0</v>
      </c>
      <c r="X381" s="276">
        <f t="shared" si="38"/>
        <v>0</v>
      </c>
      <c r="Y381" s="340" t="s">
        <v>113433</v>
      </c>
      <c r="Z381" s="432">
        <v>2543466299.3800001</v>
      </c>
      <c r="AA381" s="443">
        <f t="shared" si="36"/>
        <v>0</v>
      </c>
      <c r="AB381" s="424">
        <f t="shared" si="39"/>
        <v>0</v>
      </c>
    </row>
    <row r="382" spans="2:28" ht="30" x14ac:dyDescent="0.25">
      <c r="B382" s="84"/>
      <c r="C382" s="85"/>
      <c r="D382" s="85"/>
      <c r="E382" s="85"/>
      <c r="F382" s="85"/>
      <c r="G382" s="85"/>
      <c r="H382" s="85"/>
      <c r="I382" s="85"/>
      <c r="J382" s="86"/>
      <c r="K382" s="86" t="s">
        <v>113154</v>
      </c>
      <c r="L382" s="87">
        <v>81101500</v>
      </c>
      <c r="M382" s="88" t="s">
        <v>113157</v>
      </c>
      <c r="N382" s="89">
        <v>45651</v>
      </c>
      <c r="O382" s="89" t="s">
        <v>113163</v>
      </c>
      <c r="P382" s="90" t="s">
        <v>113020</v>
      </c>
      <c r="Q382" s="90" t="s">
        <v>113274</v>
      </c>
      <c r="R382" s="111">
        <f>300000000+16094179-195589</f>
        <v>315898590</v>
      </c>
      <c r="S382" s="127"/>
      <c r="T382" s="88" t="s">
        <v>113147</v>
      </c>
      <c r="U382" s="275">
        <v>10524</v>
      </c>
      <c r="V382" s="361">
        <v>315898590</v>
      </c>
      <c r="W382" s="361">
        <f t="shared" si="32"/>
        <v>0</v>
      </c>
      <c r="X382" s="276">
        <f t="shared" si="38"/>
        <v>0</v>
      </c>
      <c r="Y382" s="340" t="s">
        <v>113436</v>
      </c>
      <c r="Z382" s="432">
        <v>315898590</v>
      </c>
      <c r="AA382" s="443">
        <f t="shared" si="36"/>
        <v>0</v>
      </c>
      <c r="AB382" s="424">
        <f t="shared" si="39"/>
        <v>0</v>
      </c>
    </row>
    <row r="383" spans="2:28" ht="45" x14ac:dyDescent="0.25">
      <c r="B383" s="84"/>
      <c r="C383" s="85"/>
      <c r="D383" s="85"/>
      <c r="E383" s="85"/>
      <c r="F383" s="85"/>
      <c r="G383" s="85"/>
      <c r="H383" s="85"/>
      <c r="I383" s="85"/>
      <c r="J383" s="86"/>
      <c r="K383" s="86"/>
      <c r="L383" s="87" t="s">
        <v>113145</v>
      </c>
      <c r="M383" s="88" t="s">
        <v>113491</v>
      </c>
      <c r="N383" s="89">
        <v>45555</v>
      </c>
      <c r="O383" s="89" t="s">
        <v>113074</v>
      </c>
      <c r="P383" s="90" t="s">
        <v>113043</v>
      </c>
      <c r="Q383" s="90" t="s">
        <v>113273</v>
      </c>
      <c r="R383" s="111">
        <f>270578490.23+99010+32946210.15+4297000+266883700.62+195589</f>
        <v>575000000</v>
      </c>
      <c r="S383" s="127"/>
      <c r="T383" s="88" t="s">
        <v>113147</v>
      </c>
      <c r="U383" s="275">
        <v>87524</v>
      </c>
      <c r="V383" s="276">
        <v>575000000</v>
      </c>
      <c r="W383" s="276">
        <f t="shared" si="32"/>
        <v>0</v>
      </c>
      <c r="X383" s="276">
        <f t="shared" si="38"/>
        <v>575000000</v>
      </c>
      <c r="Y383" s="340"/>
      <c r="Z383" s="432"/>
      <c r="AA383" s="443">
        <f t="shared" si="36"/>
        <v>575000000</v>
      </c>
      <c r="AB383" s="424">
        <f t="shared" si="39"/>
        <v>0</v>
      </c>
    </row>
    <row r="384" spans="2:28" ht="45" customHeight="1" x14ac:dyDescent="0.25">
      <c r="B384" s="84"/>
      <c r="C384" s="85"/>
      <c r="D384" s="85"/>
      <c r="E384" s="85"/>
      <c r="F384" s="85"/>
      <c r="G384" s="85"/>
      <c r="H384" s="85"/>
      <c r="I384" s="85"/>
      <c r="J384" s="86"/>
      <c r="K384" s="86"/>
      <c r="L384" s="87">
        <v>81101500</v>
      </c>
      <c r="M384" s="88" t="s">
        <v>113492</v>
      </c>
      <c r="N384" s="89">
        <v>45555</v>
      </c>
      <c r="O384" s="89" t="s">
        <v>113074</v>
      </c>
      <c r="P384" s="90" t="s">
        <v>113043</v>
      </c>
      <c r="Q384" s="90" t="s">
        <v>113274</v>
      </c>
      <c r="R384" s="111">
        <f>22400607.85+51203229.67</f>
        <v>73603837.520000011</v>
      </c>
      <c r="S384" s="127"/>
      <c r="T384" s="88" t="s">
        <v>113147</v>
      </c>
      <c r="U384" s="275">
        <v>87624</v>
      </c>
      <c r="V384" s="276">
        <v>73603837.520000011</v>
      </c>
      <c r="W384" s="276">
        <f t="shared" si="32"/>
        <v>0</v>
      </c>
      <c r="X384" s="276">
        <f t="shared" si="38"/>
        <v>73603837.520000011</v>
      </c>
      <c r="Y384" s="340"/>
      <c r="Z384" s="432"/>
      <c r="AA384" s="443">
        <f t="shared" si="36"/>
        <v>73603837.520000011</v>
      </c>
      <c r="AB384" s="424">
        <f t="shared" si="39"/>
        <v>0</v>
      </c>
    </row>
    <row r="385" spans="2:28" ht="55.5" customHeight="1" x14ac:dyDescent="0.25">
      <c r="B385" s="84"/>
      <c r="C385" s="85"/>
      <c r="D385" s="85"/>
      <c r="E385" s="85"/>
      <c r="F385" s="85"/>
      <c r="G385" s="85"/>
      <c r="H385" s="85"/>
      <c r="I385" s="85"/>
      <c r="J385" s="86"/>
      <c r="K385" s="86" t="s">
        <v>113154</v>
      </c>
      <c r="L385" s="87" t="s">
        <v>113145</v>
      </c>
      <c r="M385" s="88" t="s">
        <v>113189</v>
      </c>
      <c r="N385" s="89">
        <v>45641</v>
      </c>
      <c r="O385" s="89" t="s">
        <v>113163</v>
      </c>
      <c r="P385" s="90" t="s">
        <v>113009</v>
      </c>
      <c r="Q385" s="90" t="s">
        <v>113273</v>
      </c>
      <c r="R385" s="111">
        <f>1100000000-200000000+195000000</f>
        <v>1095000000</v>
      </c>
      <c r="S385" s="266">
        <v>3191426295.0047998</v>
      </c>
      <c r="T385" s="88" t="s">
        <v>113147</v>
      </c>
      <c r="U385" s="275">
        <v>25624</v>
      </c>
      <c r="V385" s="324">
        <f>1100000000-200000000+195000000</f>
        <v>1095000000</v>
      </c>
      <c r="W385" s="324">
        <f t="shared" si="32"/>
        <v>0</v>
      </c>
      <c r="X385" s="276">
        <f t="shared" si="38"/>
        <v>1095000000</v>
      </c>
      <c r="Y385" s="350"/>
      <c r="Z385" s="432"/>
      <c r="AA385" s="443">
        <f t="shared" si="36"/>
        <v>1095000000</v>
      </c>
      <c r="AB385" s="424">
        <f t="shared" si="39"/>
        <v>0</v>
      </c>
    </row>
    <row r="386" spans="2:28" ht="25.5" customHeight="1" x14ac:dyDescent="0.25">
      <c r="B386" s="84"/>
      <c r="C386" s="85"/>
      <c r="D386" s="85"/>
      <c r="E386" s="85"/>
      <c r="F386" s="85"/>
      <c r="G386" s="85"/>
      <c r="H386" s="85"/>
      <c r="I386" s="85"/>
      <c r="J386" s="86"/>
      <c r="K386" s="86" t="s">
        <v>113154</v>
      </c>
      <c r="L386" s="87">
        <v>81101500</v>
      </c>
      <c r="M386" s="88" t="s">
        <v>113190</v>
      </c>
      <c r="N386" s="89">
        <v>45641</v>
      </c>
      <c r="O386" s="89" t="s">
        <v>113163</v>
      </c>
      <c r="P386" s="90" t="s">
        <v>113009</v>
      </c>
      <c r="Q386" s="90" t="s">
        <v>113274</v>
      </c>
      <c r="R386" s="111">
        <v>160000000</v>
      </c>
      <c r="S386" s="266">
        <v>285450049</v>
      </c>
      <c r="T386" s="88" t="s">
        <v>113147</v>
      </c>
      <c r="U386" s="275">
        <v>25624</v>
      </c>
      <c r="V386" s="324">
        <v>160000000</v>
      </c>
      <c r="W386" s="324">
        <f t="shared" si="32"/>
        <v>0</v>
      </c>
      <c r="X386" s="276">
        <f t="shared" si="38"/>
        <v>160000000</v>
      </c>
      <c r="Y386" s="350"/>
      <c r="Z386" s="432"/>
      <c r="AA386" s="443">
        <f t="shared" si="36"/>
        <v>160000000</v>
      </c>
      <c r="AB386" s="424">
        <f t="shared" si="39"/>
        <v>0</v>
      </c>
    </row>
    <row r="387" spans="2:28" ht="45" x14ac:dyDescent="0.25">
      <c r="B387" s="84"/>
      <c r="C387" s="85"/>
      <c r="D387" s="85"/>
      <c r="E387" s="85"/>
      <c r="F387" s="85"/>
      <c r="G387" s="85"/>
      <c r="H387" s="85"/>
      <c r="I387" s="85"/>
      <c r="J387" s="86"/>
      <c r="K387" s="86" t="s">
        <v>113154</v>
      </c>
      <c r="L387" s="87" t="s">
        <v>113145</v>
      </c>
      <c r="M387" s="88" t="s">
        <v>113191</v>
      </c>
      <c r="N387" s="89">
        <v>45641</v>
      </c>
      <c r="O387" s="89" t="s">
        <v>113163</v>
      </c>
      <c r="P387" s="90" t="s">
        <v>113020</v>
      </c>
      <c r="Q387" s="90" t="s">
        <v>113273</v>
      </c>
      <c r="R387" s="111">
        <f>1000000000-100000000</f>
        <v>900000000</v>
      </c>
      <c r="S387" s="266">
        <v>873272719.76999998</v>
      </c>
      <c r="T387" s="88" t="s">
        <v>113147</v>
      </c>
      <c r="U387" s="275">
        <v>25624</v>
      </c>
      <c r="V387" s="324">
        <f>1000000000-100000000</f>
        <v>900000000</v>
      </c>
      <c r="W387" s="324">
        <f t="shared" si="32"/>
        <v>0</v>
      </c>
      <c r="X387" s="276">
        <f t="shared" si="38"/>
        <v>900000000</v>
      </c>
      <c r="Y387" s="350"/>
      <c r="Z387" s="432"/>
      <c r="AA387" s="443">
        <f t="shared" si="36"/>
        <v>900000000</v>
      </c>
      <c r="AB387" s="424">
        <f t="shared" si="39"/>
        <v>0</v>
      </c>
    </row>
    <row r="388" spans="2:28" ht="30" x14ac:dyDescent="0.25">
      <c r="B388" s="84"/>
      <c r="C388" s="85"/>
      <c r="D388" s="85"/>
      <c r="E388" s="85"/>
      <c r="F388" s="85"/>
      <c r="G388" s="85"/>
      <c r="H388" s="85"/>
      <c r="I388" s="85"/>
      <c r="J388" s="86"/>
      <c r="K388" s="86" t="s">
        <v>113154</v>
      </c>
      <c r="L388" s="87">
        <v>81101500</v>
      </c>
      <c r="M388" s="88" t="s">
        <v>113192</v>
      </c>
      <c r="N388" s="89">
        <v>45641</v>
      </c>
      <c r="O388" s="89" t="s">
        <v>113163</v>
      </c>
      <c r="P388" s="90" t="s">
        <v>113020</v>
      </c>
      <c r="Q388" s="90" t="s">
        <v>113274</v>
      </c>
      <c r="R388" s="111">
        <v>80000000</v>
      </c>
      <c r="S388" s="266">
        <v>104065708</v>
      </c>
      <c r="T388" s="88" t="s">
        <v>113147</v>
      </c>
      <c r="U388" s="275">
        <v>25624</v>
      </c>
      <c r="V388" s="324">
        <v>80000000</v>
      </c>
      <c r="W388" s="324">
        <f t="shared" si="32"/>
        <v>0</v>
      </c>
      <c r="X388" s="276">
        <f t="shared" si="38"/>
        <v>80000000</v>
      </c>
      <c r="Y388" s="350"/>
      <c r="Z388" s="432"/>
      <c r="AA388" s="443">
        <f t="shared" si="36"/>
        <v>80000000</v>
      </c>
      <c r="AB388" s="424">
        <f t="shared" si="39"/>
        <v>0</v>
      </c>
    </row>
    <row r="389" spans="2:28" ht="45" x14ac:dyDescent="0.25">
      <c r="B389" s="84"/>
      <c r="C389" s="85"/>
      <c r="D389" s="85"/>
      <c r="E389" s="85"/>
      <c r="F389" s="85"/>
      <c r="G389" s="85"/>
      <c r="H389" s="85"/>
      <c r="I389" s="85"/>
      <c r="J389" s="86"/>
      <c r="K389" s="86" t="s">
        <v>113154</v>
      </c>
      <c r="L389" s="87" t="s">
        <v>113145</v>
      </c>
      <c r="M389" s="88" t="s">
        <v>113193</v>
      </c>
      <c r="N389" s="89">
        <v>45641</v>
      </c>
      <c r="O389" s="89" t="s">
        <v>113163</v>
      </c>
      <c r="P389" s="90" t="s">
        <v>113020</v>
      </c>
      <c r="Q389" s="90" t="s">
        <v>113273</v>
      </c>
      <c r="R389" s="111">
        <f>1000000000-100000000</f>
        <v>900000000</v>
      </c>
      <c r="S389" s="266">
        <v>610274233.07000005</v>
      </c>
      <c r="T389" s="88" t="s">
        <v>113147</v>
      </c>
      <c r="U389" s="275">
        <v>25624</v>
      </c>
      <c r="V389" s="324">
        <f>1000000000-100000000</f>
        <v>900000000</v>
      </c>
      <c r="W389" s="324">
        <f t="shared" si="32"/>
        <v>0</v>
      </c>
      <c r="X389" s="276">
        <f t="shared" si="38"/>
        <v>900000000</v>
      </c>
      <c r="Y389" s="350"/>
      <c r="Z389" s="432"/>
      <c r="AA389" s="443">
        <f t="shared" si="36"/>
        <v>900000000</v>
      </c>
      <c r="AB389" s="424">
        <f t="shared" si="39"/>
        <v>0</v>
      </c>
    </row>
    <row r="390" spans="2:28" ht="30" x14ac:dyDescent="0.25">
      <c r="B390" s="84"/>
      <c r="C390" s="85"/>
      <c r="D390" s="85"/>
      <c r="E390" s="85"/>
      <c r="F390" s="85"/>
      <c r="G390" s="85"/>
      <c r="H390" s="85"/>
      <c r="I390" s="85"/>
      <c r="J390" s="86"/>
      <c r="K390" s="86" t="s">
        <v>113154</v>
      </c>
      <c r="L390" s="87">
        <v>81101500</v>
      </c>
      <c r="M390" s="88" t="s">
        <v>113194</v>
      </c>
      <c r="N390" s="89">
        <v>45641</v>
      </c>
      <c r="O390" s="89" t="s">
        <v>113163</v>
      </c>
      <c r="P390" s="90" t="s">
        <v>113020</v>
      </c>
      <c r="Q390" s="90" t="s">
        <v>113274</v>
      </c>
      <c r="R390" s="111">
        <v>120000000</v>
      </c>
      <c r="S390" s="266">
        <v>50000000</v>
      </c>
      <c r="T390" s="88" t="s">
        <v>113147</v>
      </c>
      <c r="U390" s="275">
        <v>25624</v>
      </c>
      <c r="V390" s="324">
        <v>120000000</v>
      </c>
      <c r="W390" s="324">
        <f t="shared" si="32"/>
        <v>0</v>
      </c>
      <c r="X390" s="276">
        <f t="shared" si="38"/>
        <v>120000000</v>
      </c>
      <c r="Y390" s="350"/>
      <c r="Z390" s="432"/>
      <c r="AA390" s="443">
        <f t="shared" si="36"/>
        <v>120000000</v>
      </c>
      <c r="AB390" s="424">
        <f t="shared" si="39"/>
        <v>0</v>
      </c>
    </row>
    <row r="391" spans="2:28" ht="30" x14ac:dyDescent="0.25">
      <c r="B391" s="84"/>
      <c r="C391" s="85"/>
      <c r="D391" s="85"/>
      <c r="E391" s="85"/>
      <c r="F391" s="85"/>
      <c r="G391" s="85"/>
      <c r="H391" s="85"/>
      <c r="I391" s="85"/>
      <c r="J391" s="86"/>
      <c r="K391" s="86" t="s">
        <v>113154</v>
      </c>
      <c r="L391" s="87">
        <v>90121600</v>
      </c>
      <c r="M391" s="88" t="s">
        <v>113152</v>
      </c>
      <c r="N391" s="89">
        <v>45311</v>
      </c>
      <c r="O391" s="89" t="s">
        <v>113057</v>
      </c>
      <c r="P391" s="90" t="s">
        <v>113009</v>
      </c>
      <c r="Q391" s="90" t="s">
        <v>113264</v>
      </c>
      <c r="R391" s="111">
        <v>40000000</v>
      </c>
      <c r="S391" s="127"/>
      <c r="T391" s="88" t="s">
        <v>113147</v>
      </c>
      <c r="U391" s="275">
        <v>12324</v>
      </c>
      <c r="V391" s="276">
        <v>40000000</v>
      </c>
      <c r="W391" s="276">
        <f t="shared" si="32"/>
        <v>0</v>
      </c>
      <c r="X391" s="276">
        <f t="shared" si="38"/>
        <v>0</v>
      </c>
      <c r="Y391" s="340" t="s">
        <v>113430</v>
      </c>
      <c r="Z391" s="432">
        <v>40000000</v>
      </c>
      <c r="AA391" s="443">
        <f t="shared" si="36"/>
        <v>0</v>
      </c>
      <c r="AB391" s="424">
        <f t="shared" si="39"/>
        <v>0</v>
      </c>
    </row>
    <row r="392" spans="2:28" ht="27" customHeight="1" x14ac:dyDescent="0.25">
      <c r="B392" s="84"/>
      <c r="C392" s="85"/>
      <c r="D392" s="85"/>
      <c r="E392" s="85"/>
      <c r="F392" s="85"/>
      <c r="G392" s="85"/>
      <c r="H392" s="85"/>
      <c r="I392" s="85"/>
      <c r="J392" s="86"/>
      <c r="K392" s="86"/>
      <c r="L392" s="87"/>
      <c r="M392" s="88" t="s">
        <v>113276</v>
      </c>
      <c r="N392" s="89" t="s">
        <v>113029</v>
      </c>
      <c r="O392" s="89" t="s">
        <v>113029</v>
      </c>
      <c r="P392" s="89" t="s">
        <v>113029</v>
      </c>
      <c r="Q392" s="89" t="s">
        <v>113029</v>
      </c>
      <c r="R392" s="111">
        <f>200000000+100000000+60000000</f>
        <v>360000000</v>
      </c>
      <c r="S392" s="127"/>
      <c r="T392" s="88"/>
      <c r="U392" s="275">
        <v>86724</v>
      </c>
      <c r="V392" s="276">
        <v>70106568</v>
      </c>
      <c r="W392" s="276">
        <f t="shared" ref="W392:W413" si="40">R392-V392</f>
        <v>289893432</v>
      </c>
      <c r="X392" s="276">
        <f t="shared" si="38"/>
        <v>0</v>
      </c>
      <c r="Y392" s="340" t="s">
        <v>113494</v>
      </c>
      <c r="Z392" s="432">
        <v>70106568</v>
      </c>
      <c r="AA392" s="443">
        <f t="shared" ref="AA392:AA413" si="41">R392-Z392</f>
        <v>289893432</v>
      </c>
    </row>
    <row r="393" spans="2:28" ht="34.5" customHeight="1" x14ac:dyDescent="0.25">
      <c r="B393" s="84"/>
      <c r="C393" s="85"/>
      <c r="D393" s="85"/>
      <c r="E393" s="85"/>
      <c r="F393" s="85"/>
      <c r="G393" s="85"/>
      <c r="H393" s="85"/>
      <c r="I393" s="85"/>
      <c r="J393" s="86"/>
      <c r="K393" s="86"/>
      <c r="L393" s="87"/>
      <c r="M393" s="88" t="s">
        <v>113275</v>
      </c>
      <c r="N393" s="89" t="s">
        <v>113029</v>
      </c>
      <c r="O393" s="89" t="s">
        <v>113029</v>
      </c>
      <c r="P393" s="89" t="s">
        <v>113029</v>
      </c>
      <c r="Q393" s="89" t="s">
        <v>113029</v>
      </c>
      <c r="R393" s="111">
        <f>100000000-60000000</f>
        <v>40000000</v>
      </c>
      <c r="S393" s="127"/>
      <c r="T393" s="88"/>
      <c r="U393" s="278" t="s">
        <v>113334</v>
      </c>
      <c r="V393" s="276">
        <v>21953798.899999999</v>
      </c>
      <c r="W393" s="276">
        <f t="shared" si="40"/>
        <v>18046201.100000001</v>
      </c>
      <c r="X393" s="276">
        <f t="shared" si="38"/>
        <v>0</v>
      </c>
      <c r="Y393" s="340" t="s">
        <v>113357</v>
      </c>
      <c r="Z393" s="433">
        <v>21953798.899999999</v>
      </c>
      <c r="AA393" s="443">
        <f t="shared" si="41"/>
        <v>18046201.100000001</v>
      </c>
    </row>
    <row r="394" spans="2:28" ht="30" x14ac:dyDescent="0.25">
      <c r="B394" s="268"/>
      <c r="C394" s="269"/>
      <c r="D394" s="269"/>
      <c r="E394" s="269"/>
      <c r="F394" s="269"/>
      <c r="G394" s="269"/>
      <c r="H394" s="269"/>
      <c r="I394" s="269"/>
      <c r="J394" s="270"/>
      <c r="K394" s="270" t="s">
        <v>113154</v>
      </c>
      <c r="L394" s="87">
        <v>90111500</v>
      </c>
      <c r="M394" s="88" t="s">
        <v>113195</v>
      </c>
      <c r="N394" s="89">
        <v>45311</v>
      </c>
      <c r="O394" s="89" t="s">
        <v>113163</v>
      </c>
      <c r="P394" s="90" t="s">
        <v>113161</v>
      </c>
      <c r="Q394" s="90" t="s">
        <v>113029</v>
      </c>
      <c r="R394" s="111">
        <f>49478465.53+404845.31</f>
        <v>49883310.840000004</v>
      </c>
      <c r="S394" s="127"/>
      <c r="T394" s="88" t="s">
        <v>113147</v>
      </c>
      <c r="U394" s="275">
        <v>6724</v>
      </c>
      <c r="V394" s="276">
        <v>49478465.530000001</v>
      </c>
      <c r="W394" s="276">
        <f t="shared" si="40"/>
        <v>404845.31000000238</v>
      </c>
      <c r="X394" s="276">
        <f t="shared" si="38"/>
        <v>16881630.530000001</v>
      </c>
      <c r="Y394" s="340" t="s">
        <v>113429</v>
      </c>
      <c r="Z394" s="432">
        <v>32596835</v>
      </c>
      <c r="AA394" s="443">
        <f t="shared" si="41"/>
        <v>17286475.840000004</v>
      </c>
    </row>
    <row r="395" spans="2:28" ht="42.75" customHeight="1" x14ac:dyDescent="0.25">
      <c r="B395" s="212" t="s">
        <v>113140</v>
      </c>
      <c r="C395" s="212">
        <v>1505</v>
      </c>
      <c r="D395" s="300" t="s">
        <v>113143</v>
      </c>
      <c r="E395" s="300" t="s">
        <v>105917</v>
      </c>
      <c r="F395" s="212"/>
      <c r="G395" s="212"/>
      <c r="H395" s="212"/>
      <c r="I395" s="212"/>
      <c r="J395" s="212"/>
      <c r="K395" s="61"/>
      <c r="L395" s="61"/>
      <c r="M395" s="62" t="s">
        <v>113314</v>
      </c>
      <c r="N395" s="63"/>
      <c r="O395" s="63" t="s">
        <v>112994</v>
      </c>
      <c r="P395" s="64"/>
      <c r="Q395" s="64"/>
      <c r="R395" s="65">
        <f>R396</f>
        <v>17765000000</v>
      </c>
      <c r="S395" s="237"/>
      <c r="T395" s="238"/>
      <c r="U395" s="63" t="s">
        <v>112994</v>
      </c>
      <c r="V395" s="376">
        <f t="shared" ref="V395:X396" si="42">V396</f>
        <v>13867444285.619999</v>
      </c>
      <c r="W395" s="376">
        <f t="shared" si="40"/>
        <v>3897555714.3800011</v>
      </c>
      <c r="X395" s="65">
        <f t="shared" si="42"/>
        <v>3004559572</v>
      </c>
      <c r="Y395" s="333"/>
      <c r="Z395" s="402">
        <f>Z396</f>
        <v>10862884713.619999</v>
      </c>
      <c r="AA395" s="65">
        <f t="shared" si="41"/>
        <v>6902115286.3800011</v>
      </c>
    </row>
    <row r="396" spans="2:28" ht="42.75" customHeight="1" x14ac:dyDescent="0.25">
      <c r="B396" s="212" t="s">
        <v>113140</v>
      </c>
      <c r="C396" s="212">
        <v>1505</v>
      </c>
      <c r="D396" s="300" t="s">
        <v>113143</v>
      </c>
      <c r="E396" s="300" t="s">
        <v>105917</v>
      </c>
      <c r="F396" s="212" t="s">
        <v>113322</v>
      </c>
      <c r="G396" s="212"/>
      <c r="H396" s="212"/>
      <c r="I396" s="212"/>
      <c r="J396" s="212"/>
      <c r="K396" s="61"/>
      <c r="L396" s="61"/>
      <c r="M396" s="62" t="s">
        <v>113323</v>
      </c>
      <c r="N396" s="63"/>
      <c r="O396" s="63"/>
      <c r="P396" s="64"/>
      <c r="Q396" s="64"/>
      <c r="R396" s="65">
        <f>R397</f>
        <v>17765000000</v>
      </c>
      <c r="S396" s="237"/>
      <c r="T396" s="238"/>
      <c r="U396" s="63" t="s">
        <v>112994</v>
      </c>
      <c r="V396" s="376">
        <f t="shared" si="42"/>
        <v>13867444285.619999</v>
      </c>
      <c r="W396" s="376">
        <f t="shared" si="40"/>
        <v>3897555714.3800011</v>
      </c>
      <c r="X396" s="65">
        <f t="shared" si="42"/>
        <v>3004559572</v>
      </c>
      <c r="Y396" s="333"/>
      <c r="Z396" s="402">
        <f>Z397</f>
        <v>10862884713.619999</v>
      </c>
      <c r="AA396" s="65">
        <f t="shared" si="41"/>
        <v>6902115286.3800011</v>
      </c>
    </row>
    <row r="397" spans="2:28" ht="51.75" customHeight="1" x14ac:dyDescent="0.25">
      <c r="B397" s="303" t="s">
        <v>113140</v>
      </c>
      <c r="C397" s="303">
        <v>1505</v>
      </c>
      <c r="D397" s="303" t="s">
        <v>113143</v>
      </c>
      <c r="E397" s="304" t="s">
        <v>105917</v>
      </c>
      <c r="F397" s="303" t="s">
        <v>113322</v>
      </c>
      <c r="G397" s="303">
        <v>1505006</v>
      </c>
      <c r="H397" s="302"/>
      <c r="I397" s="239"/>
      <c r="J397" s="239"/>
      <c r="K397" s="32"/>
      <c r="L397" s="32"/>
      <c r="M397" s="33" t="s">
        <v>113324</v>
      </c>
      <c r="N397" s="240"/>
      <c r="O397" s="240" t="s">
        <v>112994</v>
      </c>
      <c r="P397" s="241"/>
      <c r="Q397" s="241"/>
      <c r="R397" s="36">
        <f>R398</f>
        <v>17765000000</v>
      </c>
      <c r="S397" s="37"/>
      <c r="T397" s="242"/>
      <c r="U397" s="242"/>
      <c r="V397" s="373">
        <f>V398</f>
        <v>13867444285.619999</v>
      </c>
      <c r="W397" s="373">
        <f t="shared" si="40"/>
        <v>3897555714.3800011</v>
      </c>
      <c r="X397" s="36">
        <f>X398</f>
        <v>3004559572</v>
      </c>
      <c r="Y397" s="351"/>
      <c r="Z397" s="399">
        <f>Z398</f>
        <v>10862884713.619999</v>
      </c>
      <c r="AA397" s="36">
        <f t="shared" si="41"/>
        <v>6902115286.3800011</v>
      </c>
    </row>
    <row r="398" spans="2:28" ht="51.75" customHeight="1" x14ac:dyDescent="0.25">
      <c r="B398" s="239" t="s">
        <v>113140</v>
      </c>
      <c r="C398" s="239">
        <v>1505</v>
      </c>
      <c r="D398" s="239" t="s">
        <v>113143</v>
      </c>
      <c r="E398" s="312" t="s">
        <v>105917</v>
      </c>
      <c r="F398" s="311" t="s">
        <v>113322</v>
      </c>
      <c r="G398" s="311">
        <v>1505006</v>
      </c>
      <c r="H398" s="312" t="s">
        <v>105573</v>
      </c>
      <c r="I398" s="311"/>
      <c r="J398" s="311"/>
      <c r="K398" s="315"/>
      <c r="L398" s="315"/>
      <c r="M398" s="313" t="s">
        <v>113315</v>
      </c>
      <c r="N398" s="79"/>
      <c r="O398" s="79"/>
      <c r="P398" s="80"/>
      <c r="Q398" s="80"/>
      <c r="R398" s="316">
        <f>SUM(R399:R413)</f>
        <v>17765000000</v>
      </c>
      <c r="S398" s="317"/>
      <c r="T398" s="366"/>
      <c r="U398" s="367"/>
      <c r="V398" s="394">
        <f>SUM(V399:V413)</f>
        <v>13867444285.619999</v>
      </c>
      <c r="W398" s="394">
        <f t="shared" si="40"/>
        <v>3897555714.3800011</v>
      </c>
      <c r="X398" s="368">
        <f>SUM(X399:X413)</f>
        <v>3004559572</v>
      </c>
      <c r="Y398" s="369"/>
      <c r="Z398" s="421">
        <f>SUM(Z399:Z413)</f>
        <v>10862884713.619999</v>
      </c>
      <c r="AA398" s="368">
        <f t="shared" si="41"/>
        <v>6902115286.3800011</v>
      </c>
      <c r="AB398" s="420"/>
    </row>
    <row r="399" spans="2:28" ht="45" x14ac:dyDescent="0.25">
      <c r="B399" s="84"/>
      <c r="C399" s="85"/>
      <c r="D399" s="85"/>
      <c r="E399" s="85"/>
      <c r="F399" s="85"/>
      <c r="G399" s="85"/>
      <c r="H399" s="85"/>
      <c r="I399" s="85"/>
      <c r="J399" s="86"/>
      <c r="K399" s="86" t="s">
        <v>113148</v>
      </c>
      <c r="L399" s="87" t="s">
        <v>113145</v>
      </c>
      <c r="M399" s="88" t="s">
        <v>113146</v>
      </c>
      <c r="N399" s="89">
        <v>45292</v>
      </c>
      <c r="O399" s="89" t="s">
        <v>113163</v>
      </c>
      <c r="P399" s="121" t="s">
        <v>113065</v>
      </c>
      <c r="Q399" s="90" t="s">
        <v>113273</v>
      </c>
      <c r="R399" s="111">
        <f>4138111605+1854760690+276453645.92</f>
        <v>6269325940.9200001</v>
      </c>
      <c r="S399" s="243"/>
      <c r="T399" s="244" t="s">
        <v>113147</v>
      </c>
      <c r="U399" s="278" t="s">
        <v>113290</v>
      </c>
      <c r="V399" s="285">
        <f>5173481333+819390962+276453645.92</f>
        <v>6269325940.9200001</v>
      </c>
      <c r="W399" s="429">
        <f t="shared" si="40"/>
        <v>0</v>
      </c>
      <c r="X399" s="276">
        <f t="shared" ref="X399:X413" si="43">V399-Z399</f>
        <v>0</v>
      </c>
      <c r="Y399" s="352" t="s">
        <v>113440</v>
      </c>
      <c r="Z399" s="441">
        <f>5173481333+819390962+276453645.92</f>
        <v>6269325940.9200001</v>
      </c>
      <c r="AA399" s="443">
        <f t="shared" si="41"/>
        <v>0</v>
      </c>
    </row>
    <row r="400" spans="2:28" ht="30" x14ac:dyDescent="0.25">
      <c r="B400" s="84"/>
      <c r="C400" s="85"/>
      <c r="D400" s="85"/>
      <c r="E400" s="85"/>
      <c r="F400" s="85"/>
      <c r="G400" s="85"/>
      <c r="H400" s="85"/>
      <c r="I400" s="85"/>
      <c r="J400" s="86"/>
      <c r="K400" s="86" t="s">
        <v>113148</v>
      </c>
      <c r="L400" s="87">
        <v>81101500</v>
      </c>
      <c r="M400" s="88" t="s">
        <v>113149</v>
      </c>
      <c r="N400" s="89">
        <v>45292</v>
      </c>
      <c r="O400" s="89" t="s">
        <v>113163</v>
      </c>
      <c r="P400" s="121" t="s">
        <v>113065</v>
      </c>
      <c r="Q400" s="90" t="s">
        <v>113274</v>
      </c>
      <c r="R400" s="111">
        <f>550573393+208535397</f>
        <v>759108790</v>
      </c>
      <c r="S400" s="243"/>
      <c r="T400" s="244" t="s">
        <v>113147</v>
      </c>
      <c r="U400" s="275">
        <v>1124</v>
      </c>
      <c r="V400" s="285">
        <v>759108790</v>
      </c>
      <c r="W400" s="429">
        <f t="shared" si="40"/>
        <v>0</v>
      </c>
      <c r="X400" s="276">
        <f t="shared" si="43"/>
        <v>0</v>
      </c>
      <c r="Y400" s="352" t="s">
        <v>113439</v>
      </c>
      <c r="Z400" s="441">
        <v>759108790</v>
      </c>
      <c r="AA400" s="443">
        <f t="shared" si="41"/>
        <v>0</v>
      </c>
    </row>
    <row r="401" spans="2:28" ht="45" x14ac:dyDescent="0.25">
      <c r="B401" s="84"/>
      <c r="C401" s="85"/>
      <c r="D401" s="85"/>
      <c r="E401" s="85"/>
      <c r="F401" s="85"/>
      <c r="G401" s="85"/>
      <c r="H401" s="85"/>
      <c r="I401" s="85"/>
      <c r="J401" s="86"/>
      <c r="K401" s="86" t="s">
        <v>113148</v>
      </c>
      <c r="L401" s="87" t="s">
        <v>113145</v>
      </c>
      <c r="M401" s="88" t="s">
        <v>113196</v>
      </c>
      <c r="N401" s="89">
        <v>45444</v>
      </c>
      <c r="O401" s="89" t="s">
        <v>113016</v>
      </c>
      <c r="P401" s="90" t="s">
        <v>113150</v>
      </c>
      <c r="Q401" s="90" t="s">
        <v>113273</v>
      </c>
      <c r="R401" s="111">
        <f>4564220183-1854760690-208535397-2481348913-19575183</f>
        <v>0</v>
      </c>
      <c r="S401" s="243"/>
      <c r="T401" s="244" t="s">
        <v>113147</v>
      </c>
      <c r="U401" s="277"/>
      <c r="V401" s="276"/>
      <c r="W401" s="276">
        <f t="shared" si="40"/>
        <v>0</v>
      </c>
      <c r="X401" s="276">
        <f t="shared" si="43"/>
        <v>0</v>
      </c>
      <c r="Y401" s="340"/>
      <c r="Z401" s="432"/>
      <c r="AA401" s="443">
        <f t="shared" si="41"/>
        <v>0</v>
      </c>
    </row>
    <row r="402" spans="2:28" ht="30" x14ac:dyDescent="0.25">
      <c r="B402" s="84"/>
      <c r="C402" s="85"/>
      <c r="D402" s="85"/>
      <c r="E402" s="85"/>
      <c r="F402" s="85"/>
      <c r="G402" s="85"/>
      <c r="H402" s="85"/>
      <c r="I402" s="85"/>
      <c r="J402" s="86"/>
      <c r="K402" s="86" t="s">
        <v>113148</v>
      </c>
      <c r="L402" s="87">
        <v>81101500</v>
      </c>
      <c r="M402" s="88" t="s">
        <v>113197</v>
      </c>
      <c r="N402" s="89">
        <v>45444</v>
      </c>
      <c r="O402" s="89" t="s">
        <v>113016</v>
      </c>
      <c r="P402" s="90" t="s">
        <v>113150</v>
      </c>
      <c r="Q402" s="90" t="s">
        <v>113274</v>
      </c>
      <c r="R402" s="111">
        <f>410779817-410779817</f>
        <v>0</v>
      </c>
      <c r="S402" s="243"/>
      <c r="T402" s="244" t="s">
        <v>113147</v>
      </c>
      <c r="U402" s="277"/>
      <c r="V402" s="276"/>
      <c r="W402" s="276">
        <f t="shared" si="40"/>
        <v>0</v>
      </c>
      <c r="X402" s="276">
        <f t="shared" si="43"/>
        <v>0</v>
      </c>
      <c r="Y402" s="340"/>
      <c r="Z402" s="432"/>
      <c r="AA402" s="443">
        <f t="shared" si="41"/>
        <v>0</v>
      </c>
    </row>
    <row r="403" spans="2:28" ht="30" x14ac:dyDescent="0.25">
      <c r="B403" s="84"/>
      <c r="C403" s="85"/>
      <c r="D403" s="85"/>
      <c r="E403" s="85"/>
      <c r="F403" s="85"/>
      <c r="G403" s="85"/>
      <c r="H403" s="85"/>
      <c r="I403" s="85"/>
      <c r="J403" s="86"/>
      <c r="K403" s="86" t="s">
        <v>113148</v>
      </c>
      <c r="L403" s="87">
        <v>90121600</v>
      </c>
      <c r="M403" s="88" t="s">
        <v>113152</v>
      </c>
      <c r="N403" s="89">
        <v>45311</v>
      </c>
      <c r="O403" s="89" t="s">
        <v>113057</v>
      </c>
      <c r="P403" s="90" t="s">
        <v>113009</v>
      </c>
      <c r="Q403" s="90" t="s">
        <v>113264</v>
      </c>
      <c r="R403" s="111">
        <v>50000000</v>
      </c>
      <c r="S403" s="128"/>
      <c r="T403" s="244" t="s">
        <v>113147</v>
      </c>
      <c r="U403" s="275">
        <v>12324</v>
      </c>
      <c r="V403" s="276">
        <v>50000000</v>
      </c>
      <c r="W403" s="276">
        <f t="shared" si="40"/>
        <v>0</v>
      </c>
      <c r="X403" s="276">
        <f t="shared" si="43"/>
        <v>0</v>
      </c>
      <c r="Y403" s="340" t="s">
        <v>113430</v>
      </c>
      <c r="Z403" s="432">
        <v>50000000</v>
      </c>
      <c r="AA403" s="443">
        <f t="shared" si="41"/>
        <v>0</v>
      </c>
    </row>
    <row r="404" spans="2:28" ht="25.5" customHeight="1" x14ac:dyDescent="0.25">
      <c r="B404" s="84"/>
      <c r="C404" s="85"/>
      <c r="D404" s="85"/>
      <c r="E404" s="85"/>
      <c r="F404" s="85"/>
      <c r="G404" s="85"/>
      <c r="H404" s="85"/>
      <c r="I404" s="85"/>
      <c r="J404" s="86"/>
      <c r="K404" s="86" t="s">
        <v>113148</v>
      </c>
      <c r="L404" s="87">
        <v>90111500</v>
      </c>
      <c r="M404" s="88" t="s">
        <v>113195</v>
      </c>
      <c r="N404" s="89">
        <v>45311</v>
      </c>
      <c r="O404" s="89" t="s">
        <v>113163</v>
      </c>
      <c r="P404" s="90" t="s">
        <v>113161</v>
      </c>
      <c r="Q404" s="90" t="s">
        <v>113029</v>
      </c>
      <c r="R404" s="111">
        <v>70000000</v>
      </c>
      <c r="S404" s="128"/>
      <c r="T404" s="244" t="s">
        <v>113147</v>
      </c>
      <c r="U404" s="275">
        <v>6724</v>
      </c>
      <c r="V404" s="276">
        <v>70000000</v>
      </c>
      <c r="W404" s="276">
        <f t="shared" si="40"/>
        <v>0</v>
      </c>
      <c r="X404" s="372">
        <f t="shared" si="43"/>
        <v>33389915</v>
      </c>
      <c r="Y404" s="340" t="s">
        <v>113442</v>
      </c>
      <c r="Z404" s="432">
        <f>29355767+3552598+3701720</f>
        <v>36610085</v>
      </c>
      <c r="AA404" s="443">
        <f t="shared" si="41"/>
        <v>33389915</v>
      </c>
    </row>
    <row r="405" spans="2:28" ht="26.25" customHeight="1" x14ac:dyDescent="0.25">
      <c r="B405" s="84"/>
      <c r="C405" s="85"/>
      <c r="D405" s="85"/>
      <c r="E405" s="85"/>
      <c r="F405" s="85"/>
      <c r="G405" s="85"/>
      <c r="H405" s="85"/>
      <c r="I405" s="85"/>
      <c r="J405" s="86"/>
      <c r="K405" s="86" t="s">
        <v>113148</v>
      </c>
      <c r="L405" s="87" t="s">
        <v>113198</v>
      </c>
      <c r="M405" s="88" t="s">
        <v>113151</v>
      </c>
      <c r="N405" s="89">
        <v>45305</v>
      </c>
      <c r="O405" s="89" t="s">
        <v>113163</v>
      </c>
      <c r="P405" s="90" t="s">
        <v>113161</v>
      </c>
      <c r="Q405" s="90" t="s">
        <v>113088</v>
      </c>
      <c r="R405" s="111">
        <f>500000000+183600000</f>
        <v>683600000</v>
      </c>
      <c r="S405" s="128"/>
      <c r="T405" s="244" t="s">
        <v>113147</v>
      </c>
      <c r="U405" s="278" t="s">
        <v>113337</v>
      </c>
      <c r="V405" s="281">
        <v>683600000</v>
      </c>
      <c r="W405" s="281">
        <f t="shared" si="40"/>
        <v>0</v>
      </c>
      <c r="X405" s="372">
        <f t="shared" si="43"/>
        <v>18350000</v>
      </c>
      <c r="Y405" s="347" t="s">
        <v>113441</v>
      </c>
      <c r="Z405" s="432">
        <v>665250000</v>
      </c>
      <c r="AA405" s="443">
        <f t="shared" si="41"/>
        <v>18350000</v>
      </c>
    </row>
    <row r="406" spans="2:28" ht="29.25" customHeight="1" x14ac:dyDescent="0.25">
      <c r="B406" s="84"/>
      <c r="C406" s="85"/>
      <c r="D406" s="85"/>
      <c r="E406" s="85"/>
      <c r="F406" s="85"/>
      <c r="G406" s="85"/>
      <c r="H406" s="85"/>
      <c r="I406" s="85"/>
      <c r="J406" s="86"/>
      <c r="K406" s="86" t="s">
        <v>113148</v>
      </c>
      <c r="L406" s="87" t="s">
        <v>113198</v>
      </c>
      <c r="M406" s="88" t="s">
        <v>113151</v>
      </c>
      <c r="N406" s="89">
        <v>45305</v>
      </c>
      <c r="O406" s="89" t="s">
        <v>113163</v>
      </c>
      <c r="P406" s="90" t="s">
        <v>113161</v>
      </c>
      <c r="Q406" s="90" t="s">
        <v>113274</v>
      </c>
      <c r="R406" s="111">
        <f>481315002-183600000-197136020</f>
        <v>100578982</v>
      </c>
      <c r="S406" s="128"/>
      <c r="T406" s="244" t="s">
        <v>113147</v>
      </c>
      <c r="U406" s="278" t="s">
        <v>113488</v>
      </c>
      <c r="V406" s="281">
        <f>97378982+3200000</f>
        <v>100578982</v>
      </c>
      <c r="W406" s="281">
        <f t="shared" si="40"/>
        <v>0</v>
      </c>
      <c r="X406" s="372">
        <f t="shared" si="43"/>
        <v>3200000</v>
      </c>
      <c r="Y406" s="347" t="s">
        <v>113443</v>
      </c>
      <c r="Z406" s="432">
        <v>97378982</v>
      </c>
      <c r="AA406" s="446">
        <f t="shared" si="41"/>
        <v>3200000</v>
      </c>
    </row>
    <row r="407" spans="2:28" ht="44.25" customHeight="1" x14ac:dyDescent="0.25">
      <c r="B407" s="84"/>
      <c r="C407" s="85"/>
      <c r="D407" s="85"/>
      <c r="E407" s="85"/>
      <c r="F407" s="85"/>
      <c r="G407" s="85"/>
      <c r="H407" s="85"/>
      <c r="I407" s="85"/>
      <c r="J407" s="86"/>
      <c r="K407" s="86"/>
      <c r="L407" s="87" t="s">
        <v>113145</v>
      </c>
      <c r="M407" s="398" t="s">
        <v>113530</v>
      </c>
      <c r="N407" s="89">
        <v>45588</v>
      </c>
      <c r="O407" s="89" t="s">
        <v>113067</v>
      </c>
      <c r="P407" s="90" t="s">
        <v>113523</v>
      </c>
      <c r="Q407" s="90" t="s">
        <v>113273</v>
      </c>
      <c r="R407" s="111">
        <f>2481348913+3847706955.38</f>
        <v>6329055868.3800001</v>
      </c>
      <c r="S407" s="266">
        <v>8000000000</v>
      </c>
      <c r="T407" s="244" t="s">
        <v>113147</v>
      </c>
      <c r="U407" s="275">
        <v>25624</v>
      </c>
      <c r="V407" s="324">
        <v>2481348913</v>
      </c>
      <c r="W407" s="324">
        <f t="shared" si="40"/>
        <v>3847706955.3800001</v>
      </c>
      <c r="X407" s="372">
        <f t="shared" si="43"/>
        <v>2481348913</v>
      </c>
      <c r="Y407" s="350"/>
      <c r="Z407" s="432"/>
      <c r="AA407" s="446">
        <f t="shared" si="41"/>
        <v>6329055868.3800001</v>
      </c>
    </row>
    <row r="408" spans="2:28" ht="66.75" customHeight="1" x14ac:dyDescent="0.25">
      <c r="B408" s="84"/>
      <c r="C408" s="85"/>
      <c r="D408" s="85"/>
      <c r="E408" s="85"/>
      <c r="F408" s="85"/>
      <c r="G408" s="85"/>
      <c r="H408" s="85"/>
      <c r="I408" s="85"/>
      <c r="J408" s="86"/>
      <c r="K408" s="86"/>
      <c r="L408" s="87">
        <v>81101500</v>
      </c>
      <c r="M408" s="398" t="s">
        <v>113529</v>
      </c>
      <c r="N408" s="89">
        <v>45588</v>
      </c>
      <c r="O408" s="89" t="s">
        <v>113067</v>
      </c>
      <c r="P408" s="90" t="s">
        <v>113523</v>
      </c>
      <c r="Q408" s="90" t="s">
        <v>113274</v>
      </c>
      <c r="R408" s="111">
        <f>19575183+410779817</f>
        <v>430355000</v>
      </c>
      <c r="S408" s="266">
        <v>1300000000</v>
      </c>
      <c r="T408" s="244" t="s">
        <v>113147</v>
      </c>
      <c r="U408" s="275">
        <v>25624</v>
      </c>
      <c r="V408" s="324">
        <f>19575183+410779817</f>
        <v>430355000</v>
      </c>
      <c r="W408" s="324">
        <f t="shared" si="40"/>
        <v>0</v>
      </c>
      <c r="X408" s="372">
        <f t="shared" si="43"/>
        <v>430355000</v>
      </c>
      <c r="Y408" s="350"/>
      <c r="Z408" s="432"/>
      <c r="AA408" s="443">
        <f t="shared" si="41"/>
        <v>430355000</v>
      </c>
    </row>
    <row r="409" spans="2:28" ht="43.5" customHeight="1" x14ac:dyDescent="0.25">
      <c r="B409" s="84"/>
      <c r="C409" s="85"/>
      <c r="D409" s="85"/>
      <c r="E409" s="85"/>
      <c r="F409" s="85"/>
      <c r="G409" s="85"/>
      <c r="H409" s="85"/>
      <c r="I409" s="85"/>
      <c r="J409" s="86"/>
      <c r="K409" s="86" t="s">
        <v>113148</v>
      </c>
      <c r="L409" s="87" t="s">
        <v>113145</v>
      </c>
      <c r="M409" s="88" t="s">
        <v>113199</v>
      </c>
      <c r="N409" s="89">
        <v>45336</v>
      </c>
      <c r="O409" s="89" t="s">
        <v>113163</v>
      </c>
      <c r="P409" s="90" t="s">
        <v>113200</v>
      </c>
      <c r="Q409" s="90" t="s">
        <v>113273</v>
      </c>
      <c r="R409" s="111">
        <f>4133000000-712261158-276453645.92-3144285196.08</f>
        <v>0</v>
      </c>
      <c r="S409" s="128"/>
      <c r="T409" s="244" t="s">
        <v>113147</v>
      </c>
      <c r="U409" s="275"/>
      <c r="V409" s="276"/>
      <c r="W409" s="276">
        <f t="shared" si="40"/>
        <v>0</v>
      </c>
      <c r="X409" s="372">
        <f t="shared" si="43"/>
        <v>0</v>
      </c>
      <c r="Y409" s="340"/>
      <c r="Z409" s="432"/>
      <c r="AA409" s="446">
        <f t="shared" si="41"/>
        <v>0</v>
      </c>
    </row>
    <row r="410" spans="2:28" ht="30" x14ac:dyDescent="0.25">
      <c r="B410" s="84"/>
      <c r="C410" s="85"/>
      <c r="D410" s="85"/>
      <c r="E410" s="85"/>
      <c r="F410" s="85"/>
      <c r="G410" s="85"/>
      <c r="H410" s="85"/>
      <c r="I410" s="85"/>
      <c r="J410" s="86"/>
      <c r="K410" s="86" t="s">
        <v>113148</v>
      </c>
      <c r="L410" s="87">
        <v>81101500</v>
      </c>
      <c r="M410" s="88" t="s">
        <v>113201</v>
      </c>
      <c r="N410" s="89">
        <v>45336</v>
      </c>
      <c r="O410" s="89" t="s">
        <v>113163</v>
      </c>
      <c r="P410" s="90" t="s">
        <v>113200</v>
      </c>
      <c r="Q410" s="90" t="s">
        <v>113274</v>
      </c>
      <c r="R410" s="111">
        <f>405000000-405000000</f>
        <v>0</v>
      </c>
      <c r="S410" s="128"/>
      <c r="T410" s="244" t="s">
        <v>113147</v>
      </c>
      <c r="U410" s="275"/>
      <c r="V410" s="276"/>
      <c r="W410" s="276">
        <f t="shared" si="40"/>
        <v>0</v>
      </c>
      <c r="X410" s="372">
        <f t="shared" si="43"/>
        <v>0</v>
      </c>
      <c r="Y410" s="340"/>
      <c r="Z410" s="432"/>
      <c r="AA410" s="446">
        <f t="shared" si="41"/>
        <v>0</v>
      </c>
    </row>
    <row r="411" spans="2:28" ht="45" x14ac:dyDescent="0.25">
      <c r="B411" s="84"/>
      <c r="C411" s="85"/>
      <c r="D411" s="85"/>
      <c r="E411" s="85"/>
      <c r="F411" s="85"/>
      <c r="G411" s="85"/>
      <c r="H411" s="85"/>
      <c r="I411" s="85"/>
      <c r="J411" s="86"/>
      <c r="K411" s="86" t="s">
        <v>113148</v>
      </c>
      <c r="L411" s="87" t="s">
        <v>113145</v>
      </c>
      <c r="M411" s="88" t="s">
        <v>113202</v>
      </c>
      <c r="N411" s="89">
        <v>45336</v>
      </c>
      <c r="O411" s="89" t="s">
        <v>113163</v>
      </c>
      <c r="P411" s="90" t="s">
        <v>113200</v>
      </c>
      <c r="Q411" s="90" t="s">
        <v>113273</v>
      </c>
      <c r="R411" s="111">
        <f>2107000000+712261158-101285739.3</f>
        <v>2717975418.6999998</v>
      </c>
      <c r="S411" s="128"/>
      <c r="T411" s="244" t="s">
        <v>113147</v>
      </c>
      <c r="U411" s="275">
        <v>49924</v>
      </c>
      <c r="V411" s="276">
        <v>2717975418.6999998</v>
      </c>
      <c r="W411" s="276">
        <f t="shared" si="40"/>
        <v>0</v>
      </c>
      <c r="X411" s="372">
        <f t="shared" si="43"/>
        <v>0</v>
      </c>
      <c r="Y411" s="338">
        <v>151624</v>
      </c>
      <c r="Z411" s="432">
        <v>2717975418.6999998</v>
      </c>
      <c r="AA411" s="446">
        <f t="shared" si="41"/>
        <v>0</v>
      </c>
    </row>
    <row r="412" spans="2:28" ht="30" x14ac:dyDescent="0.25">
      <c r="B412" s="84"/>
      <c r="C412" s="85"/>
      <c r="D412" s="85"/>
      <c r="E412" s="85"/>
      <c r="F412" s="85"/>
      <c r="G412" s="85"/>
      <c r="H412" s="85"/>
      <c r="I412" s="85"/>
      <c r="J412" s="86"/>
      <c r="K412" s="86" t="s">
        <v>113148</v>
      </c>
      <c r="L412" s="87">
        <v>81101500</v>
      </c>
      <c r="M412" s="88" t="s">
        <v>113203</v>
      </c>
      <c r="N412" s="89">
        <v>45336</v>
      </c>
      <c r="O412" s="89" t="s">
        <v>113163</v>
      </c>
      <c r="P412" s="90" t="s">
        <v>113200</v>
      </c>
      <c r="Q412" s="90" t="s">
        <v>113274</v>
      </c>
      <c r="R412" s="111">
        <f>355000000-40000000</f>
        <v>315000000</v>
      </c>
      <c r="S412" s="128"/>
      <c r="T412" s="244" t="s">
        <v>113147</v>
      </c>
      <c r="U412" s="275">
        <v>52324</v>
      </c>
      <c r="V412" s="276">
        <v>265151241</v>
      </c>
      <c r="W412" s="276">
        <f t="shared" si="40"/>
        <v>49848759</v>
      </c>
      <c r="X412" s="372">
        <f t="shared" si="43"/>
        <v>19241</v>
      </c>
      <c r="Y412" s="338">
        <v>151424</v>
      </c>
      <c r="Z412" s="432">
        <v>265132000</v>
      </c>
      <c r="AA412" s="446">
        <f t="shared" si="41"/>
        <v>49868000</v>
      </c>
    </row>
    <row r="413" spans="2:28" ht="45" customHeight="1" x14ac:dyDescent="0.25">
      <c r="B413" s="84"/>
      <c r="C413" s="85"/>
      <c r="D413" s="85"/>
      <c r="E413" s="85"/>
      <c r="F413" s="85"/>
      <c r="G413" s="85"/>
      <c r="H413" s="85"/>
      <c r="I413" s="85"/>
      <c r="J413" s="86"/>
      <c r="K413" s="86"/>
      <c r="L413" s="87"/>
      <c r="M413" s="88" t="s">
        <v>113493</v>
      </c>
      <c r="N413" s="89" t="s">
        <v>113029</v>
      </c>
      <c r="O413" s="89" t="s">
        <v>113029</v>
      </c>
      <c r="P413" s="89" t="s">
        <v>113029</v>
      </c>
      <c r="Q413" s="89" t="s">
        <v>113029</v>
      </c>
      <c r="R413" s="111">
        <v>40000000</v>
      </c>
      <c r="S413" s="127"/>
      <c r="T413" s="88" t="s">
        <v>113147</v>
      </c>
      <c r="U413" s="275">
        <v>88924</v>
      </c>
      <c r="V413" s="276">
        <v>40000000</v>
      </c>
      <c r="W413" s="276">
        <f t="shared" si="40"/>
        <v>0</v>
      </c>
      <c r="X413" s="372">
        <f t="shared" si="43"/>
        <v>37896503</v>
      </c>
      <c r="Y413" s="340" t="s">
        <v>113507</v>
      </c>
      <c r="Z413" s="432">
        <v>2103497</v>
      </c>
      <c r="AA413" s="443">
        <f t="shared" si="41"/>
        <v>37896503</v>
      </c>
    </row>
    <row r="414" spans="2:28" x14ac:dyDescent="0.25">
      <c r="V414" s="447"/>
      <c r="Z414" s="325"/>
      <c r="AB414" s="428"/>
    </row>
    <row r="415" spans="2:28" x14ac:dyDescent="0.25">
      <c r="Z415" s="325"/>
      <c r="AB415" s="428"/>
    </row>
    <row r="416" spans="2:28" x14ac:dyDescent="0.25">
      <c r="Z416" s="325"/>
      <c r="AB416" s="428"/>
    </row>
    <row r="417" spans="22:28" x14ac:dyDescent="0.25">
      <c r="AB417" s="428"/>
    </row>
    <row r="418" spans="22:28" x14ac:dyDescent="0.25">
      <c r="V418" s="325">
        <f>V405-R405</f>
        <v>0</v>
      </c>
      <c r="AB418" s="428"/>
    </row>
    <row r="419" spans="22:28" x14ac:dyDescent="0.25">
      <c r="AB419" s="428"/>
    </row>
    <row r="420" spans="22:28" x14ac:dyDescent="0.25">
      <c r="AB420" s="428"/>
    </row>
    <row r="421" spans="22:28" x14ac:dyDescent="0.25">
      <c r="AB421" s="428"/>
    </row>
    <row r="422" spans="22:28" x14ac:dyDescent="0.25">
      <c r="AB422" s="428"/>
    </row>
    <row r="423" spans="22:28" x14ac:dyDescent="0.25">
      <c r="AB423" s="428"/>
    </row>
    <row r="424" spans="22:28" x14ac:dyDescent="0.25">
      <c r="AB424" s="428"/>
    </row>
    <row r="425" spans="22:28" x14ac:dyDescent="0.25">
      <c r="AB425" s="428"/>
    </row>
    <row r="426" spans="22:28" x14ac:dyDescent="0.25">
      <c r="AB426" s="428"/>
    </row>
    <row r="427" spans="22:28" x14ac:dyDescent="0.25">
      <c r="AB427" s="428"/>
    </row>
    <row r="428" spans="22:28" x14ac:dyDescent="0.25">
      <c r="AB428" s="428"/>
    </row>
    <row r="429" spans="22:28" x14ac:dyDescent="0.25">
      <c r="AB429" s="428"/>
    </row>
    <row r="430" spans="22:28" x14ac:dyDescent="0.25">
      <c r="AB430" s="428"/>
    </row>
    <row r="431" spans="22:28" x14ac:dyDescent="0.25">
      <c r="AB431" s="428"/>
    </row>
    <row r="432" spans="22:28" x14ac:dyDescent="0.25">
      <c r="AB432" s="428"/>
    </row>
    <row r="433" spans="28:28" x14ac:dyDescent="0.25">
      <c r="AB433" s="428"/>
    </row>
    <row r="434" spans="28:28" x14ac:dyDescent="0.25">
      <c r="AB434" s="428"/>
    </row>
    <row r="435" spans="28:28" x14ac:dyDescent="0.25">
      <c r="AB435" s="428"/>
    </row>
    <row r="436" spans="28:28" x14ac:dyDescent="0.25">
      <c r="AB436" s="428"/>
    </row>
    <row r="437" spans="28:28" x14ac:dyDescent="0.25">
      <c r="AB437" s="428"/>
    </row>
    <row r="438" spans="28:28" x14ac:dyDescent="0.25">
      <c r="AB438" s="428"/>
    </row>
    <row r="439" spans="28:28" x14ac:dyDescent="0.25">
      <c r="AB439" s="428"/>
    </row>
    <row r="440" spans="28:28" x14ac:dyDescent="0.25">
      <c r="AB440" s="428"/>
    </row>
    <row r="441" spans="28:28" x14ac:dyDescent="0.25">
      <c r="AB441" s="428"/>
    </row>
    <row r="442" spans="28:28" x14ac:dyDescent="0.25">
      <c r="AB442" s="428"/>
    </row>
    <row r="443" spans="28:28" x14ac:dyDescent="0.25">
      <c r="AB443" s="428"/>
    </row>
    <row r="444" spans="28:28" x14ac:dyDescent="0.25">
      <c r="AB444" s="428"/>
    </row>
    <row r="445" spans="28:28" x14ac:dyDescent="0.25">
      <c r="AB445" s="428"/>
    </row>
    <row r="446" spans="28:28" x14ac:dyDescent="0.25">
      <c r="AB446" s="428"/>
    </row>
    <row r="447" spans="28:28" x14ac:dyDescent="0.25">
      <c r="AB447" s="428"/>
    </row>
    <row r="448" spans="28:28" x14ac:dyDescent="0.25">
      <c r="AB448" s="428"/>
    </row>
    <row r="449" spans="28:28" x14ac:dyDescent="0.25">
      <c r="AB449" s="428"/>
    </row>
    <row r="450" spans="28:28" x14ac:dyDescent="0.25">
      <c r="AB450" s="428"/>
    </row>
    <row r="451" spans="28:28" x14ac:dyDescent="0.25">
      <c r="AB451" s="428"/>
    </row>
    <row r="452" spans="28:28" x14ac:dyDescent="0.25">
      <c r="AB452" s="428"/>
    </row>
    <row r="453" spans="28:28" x14ac:dyDescent="0.25">
      <c r="AB453" s="428"/>
    </row>
    <row r="454" spans="28:28" x14ac:dyDescent="0.25">
      <c r="AB454" s="428"/>
    </row>
    <row r="455" spans="28:28" x14ac:dyDescent="0.25">
      <c r="AB455" s="428"/>
    </row>
    <row r="456" spans="28:28" x14ac:dyDescent="0.25">
      <c r="AB456" s="428"/>
    </row>
    <row r="457" spans="28:28" x14ac:dyDescent="0.25">
      <c r="AB457" s="428"/>
    </row>
    <row r="458" spans="28:28" x14ac:dyDescent="0.25">
      <c r="AB458" s="428"/>
    </row>
    <row r="459" spans="28:28" x14ac:dyDescent="0.25">
      <c r="AB459" s="428"/>
    </row>
    <row r="460" spans="28:28" x14ac:dyDescent="0.25">
      <c r="AB460" s="428"/>
    </row>
    <row r="461" spans="28:28" x14ac:dyDescent="0.25">
      <c r="AB461" s="428"/>
    </row>
    <row r="462" spans="28:28" x14ac:dyDescent="0.25">
      <c r="AB462" s="428"/>
    </row>
    <row r="463" spans="28:28" x14ac:dyDescent="0.25">
      <c r="AB463" s="428"/>
    </row>
    <row r="464" spans="28:28" x14ac:dyDescent="0.25">
      <c r="AB464" s="428"/>
    </row>
    <row r="465" spans="28:28" x14ac:dyDescent="0.25">
      <c r="AB465" s="428"/>
    </row>
    <row r="466" spans="28:28" x14ac:dyDescent="0.25">
      <c r="AB466" s="428"/>
    </row>
    <row r="467" spans="28:28" x14ac:dyDescent="0.25">
      <c r="AB467" s="428"/>
    </row>
    <row r="468" spans="28:28" x14ac:dyDescent="0.25">
      <c r="AB468" s="428"/>
    </row>
    <row r="469" spans="28:28" x14ac:dyDescent="0.25">
      <c r="AB469" s="428"/>
    </row>
    <row r="470" spans="28:28" x14ac:dyDescent="0.25">
      <c r="AB470" s="428"/>
    </row>
    <row r="471" spans="28:28" x14ac:dyDescent="0.25">
      <c r="AB471" s="428"/>
    </row>
    <row r="472" spans="28:28" x14ac:dyDescent="0.25">
      <c r="AB472" s="428"/>
    </row>
    <row r="473" spans="28:28" x14ac:dyDescent="0.25">
      <c r="AB473" s="428"/>
    </row>
    <row r="474" spans="28:28" x14ac:dyDescent="0.25">
      <c r="AB474" s="428"/>
    </row>
    <row r="475" spans="28:28" x14ac:dyDescent="0.25">
      <c r="AB475" s="428"/>
    </row>
    <row r="476" spans="28:28" x14ac:dyDescent="0.25">
      <c r="AB476" s="428"/>
    </row>
    <row r="477" spans="28:28" x14ac:dyDescent="0.25">
      <c r="AB477" s="428"/>
    </row>
    <row r="478" spans="28:28" x14ac:dyDescent="0.25">
      <c r="AB478" s="428"/>
    </row>
    <row r="479" spans="28:28" x14ac:dyDescent="0.25">
      <c r="AB479" s="428"/>
    </row>
    <row r="480" spans="28:28" x14ac:dyDescent="0.25">
      <c r="AB480" s="428"/>
    </row>
    <row r="481" spans="28:28" x14ac:dyDescent="0.25">
      <c r="AB481" s="428"/>
    </row>
    <row r="482" spans="28:28" x14ac:dyDescent="0.25">
      <c r="AB482" s="428"/>
    </row>
    <row r="483" spans="28:28" x14ac:dyDescent="0.25">
      <c r="AB483" s="428"/>
    </row>
    <row r="484" spans="28:28" x14ac:dyDescent="0.25">
      <c r="AB484" s="428"/>
    </row>
    <row r="485" spans="28:28" x14ac:dyDescent="0.25">
      <c r="AB485" s="428"/>
    </row>
    <row r="486" spans="28:28" x14ac:dyDescent="0.25">
      <c r="AB486" s="428"/>
    </row>
    <row r="487" spans="28:28" x14ac:dyDescent="0.25">
      <c r="AB487" s="428"/>
    </row>
    <row r="488" spans="28:28" x14ac:dyDescent="0.25">
      <c r="AB488" s="428"/>
    </row>
    <row r="489" spans="28:28" x14ac:dyDescent="0.25">
      <c r="AB489" s="428"/>
    </row>
    <row r="490" spans="28:28" x14ac:dyDescent="0.25">
      <c r="AB490" s="428"/>
    </row>
    <row r="491" spans="28:28" x14ac:dyDescent="0.25">
      <c r="AB491" s="428"/>
    </row>
    <row r="492" spans="28:28" x14ac:dyDescent="0.25">
      <c r="AB492" s="428"/>
    </row>
    <row r="493" spans="28:28" x14ac:dyDescent="0.25">
      <c r="AB493" s="428"/>
    </row>
    <row r="494" spans="28:28" x14ac:dyDescent="0.25">
      <c r="AB494" s="428"/>
    </row>
    <row r="495" spans="28:28" x14ac:dyDescent="0.25">
      <c r="AB495" s="428"/>
    </row>
    <row r="496" spans="28:28" x14ac:dyDescent="0.25">
      <c r="AB496" s="428"/>
    </row>
    <row r="497" spans="28:28" x14ac:dyDescent="0.25">
      <c r="AB497" s="428"/>
    </row>
    <row r="498" spans="28:28" x14ac:dyDescent="0.25">
      <c r="AB498" s="428"/>
    </row>
    <row r="499" spans="28:28" x14ac:dyDescent="0.25">
      <c r="AB499" s="428"/>
    </row>
    <row r="500" spans="28:28" x14ac:dyDescent="0.25">
      <c r="AB500" s="428"/>
    </row>
    <row r="501" spans="28:28" x14ac:dyDescent="0.25">
      <c r="AB501" s="428"/>
    </row>
    <row r="502" spans="28:28" x14ac:dyDescent="0.25">
      <c r="AB502" s="428"/>
    </row>
    <row r="503" spans="28:28" x14ac:dyDescent="0.25">
      <c r="AB503" s="428"/>
    </row>
    <row r="504" spans="28:28" x14ac:dyDescent="0.25">
      <c r="AB504" s="428"/>
    </row>
    <row r="505" spans="28:28" x14ac:dyDescent="0.25">
      <c r="AB505" s="428"/>
    </row>
    <row r="506" spans="28:28" x14ac:dyDescent="0.25">
      <c r="AB506" s="428"/>
    </row>
    <row r="507" spans="28:28" x14ac:dyDescent="0.25">
      <c r="AB507" s="428"/>
    </row>
    <row r="508" spans="28:28" x14ac:dyDescent="0.25">
      <c r="AB508" s="428"/>
    </row>
    <row r="509" spans="28:28" x14ac:dyDescent="0.25">
      <c r="AB509" s="428"/>
    </row>
    <row r="510" spans="28:28" x14ac:dyDescent="0.25">
      <c r="AB510" s="428"/>
    </row>
    <row r="511" spans="28:28" x14ac:dyDescent="0.25">
      <c r="AB511" s="428"/>
    </row>
    <row r="512" spans="28:28" x14ac:dyDescent="0.25">
      <c r="AB512" s="428"/>
    </row>
    <row r="513" spans="28:28" x14ac:dyDescent="0.25">
      <c r="AB513" s="428"/>
    </row>
    <row r="514" spans="28:28" x14ac:dyDescent="0.25">
      <c r="AB514" s="428"/>
    </row>
    <row r="515" spans="28:28" x14ac:dyDescent="0.25">
      <c r="AB515" s="428"/>
    </row>
    <row r="516" spans="28:28" x14ac:dyDescent="0.25">
      <c r="AB516" s="428"/>
    </row>
    <row r="517" spans="28:28" x14ac:dyDescent="0.25">
      <c r="AB517" s="428"/>
    </row>
    <row r="518" spans="28:28" x14ac:dyDescent="0.25">
      <c r="AB518" s="428"/>
    </row>
    <row r="519" spans="28:28" x14ac:dyDescent="0.25">
      <c r="AB519" s="428"/>
    </row>
    <row r="520" spans="28:28" x14ac:dyDescent="0.25">
      <c r="AB520" s="428"/>
    </row>
    <row r="521" spans="28:28" x14ac:dyDescent="0.25">
      <c r="AB521" s="428"/>
    </row>
    <row r="522" spans="28:28" x14ac:dyDescent="0.25">
      <c r="AB522" s="428"/>
    </row>
    <row r="523" spans="28:28" x14ac:dyDescent="0.25">
      <c r="AB523" s="428"/>
    </row>
    <row r="524" spans="28:28" x14ac:dyDescent="0.25">
      <c r="AB524" s="428"/>
    </row>
    <row r="525" spans="28:28" x14ac:dyDescent="0.25">
      <c r="AB525" s="428"/>
    </row>
    <row r="526" spans="28:28" x14ac:dyDescent="0.25">
      <c r="AB526" s="428"/>
    </row>
    <row r="527" spans="28:28" x14ac:dyDescent="0.25">
      <c r="AB527" s="428"/>
    </row>
    <row r="528" spans="28:28" x14ac:dyDescent="0.25">
      <c r="AB528" s="428"/>
    </row>
    <row r="529" spans="28:28" x14ac:dyDescent="0.25">
      <c r="AB529" s="428"/>
    </row>
    <row r="530" spans="28:28" x14ac:dyDescent="0.25">
      <c r="AB530" s="428"/>
    </row>
    <row r="531" spans="28:28" x14ac:dyDescent="0.25">
      <c r="AB531" s="428"/>
    </row>
    <row r="532" spans="28:28" x14ac:dyDescent="0.25">
      <c r="AB532" s="428"/>
    </row>
    <row r="533" spans="28:28" x14ac:dyDescent="0.25">
      <c r="AB533" s="428"/>
    </row>
    <row r="534" spans="28:28" x14ac:dyDescent="0.25">
      <c r="AB534" s="428"/>
    </row>
    <row r="535" spans="28:28" x14ac:dyDescent="0.25">
      <c r="AB535" s="428"/>
    </row>
    <row r="536" spans="28:28" x14ac:dyDescent="0.25">
      <c r="AB536" s="428"/>
    </row>
    <row r="537" spans="28:28" x14ac:dyDescent="0.25">
      <c r="AB537" s="428"/>
    </row>
    <row r="538" spans="28:28" x14ac:dyDescent="0.25">
      <c r="AB538" s="428"/>
    </row>
    <row r="539" spans="28:28" x14ac:dyDescent="0.25">
      <c r="AB539" s="428"/>
    </row>
    <row r="540" spans="28:28" x14ac:dyDescent="0.25">
      <c r="AB540" s="428"/>
    </row>
    <row r="541" spans="28:28" x14ac:dyDescent="0.25">
      <c r="AB541" s="428"/>
    </row>
    <row r="542" spans="28:28" x14ac:dyDescent="0.25">
      <c r="AB542" s="428"/>
    </row>
    <row r="543" spans="28:28" x14ac:dyDescent="0.25">
      <c r="AB543" s="428"/>
    </row>
    <row r="544" spans="28:28" x14ac:dyDescent="0.25">
      <c r="AB544" s="428"/>
    </row>
    <row r="545" spans="28:28" x14ac:dyDescent="0.25">
      <c r="AB545" s="428"/>
    </row>
    <row r="546" spans="28:28" x14ac:dyDescent="0.25">
      <c r="AB546" s="428"/>
    </row>
    <row r="547" spans="28:28" x14ac:dyDescent="0.25">
      <c r="AB547" s="428"/>
    </row>
    <row r="548" spans="28:28" x14ac:dyDescent="0.25">
      <c r="AB548" s="428"/>
    </row>
    <row r="549" spans="28:28" x14ac:dyDescent="0.25">
      <c r="AB549" s="428"/>
    </row>
    <row r="550" spans="28:28" x14ac:dyDescent="0.25">
      <c r="AB550" s="428"/>
    </row>
    <row r="551" spans="28:28" x14ac:dyDescent="0.25">
      <c r="AB551" s="428"/>
    </row>
    <row r="552" spans="28:28" x14ac:dyDescent="0.25">
      <c r="AB552" s="428"/>
    </row>
    <row r="553" spans="28:28" x14ac:dyDescent="0.25">
      <c r="AB553" s="428"/>
    </row>
    <row r="554" spans="28:28" x14ac:dyDescent="0.25">
      <c r="AB554" s="428"/>
    </row>
    <row r="555" spans="28:28" x14ac:dyDescent="0.25">
      <c r="AB555" s="428"/>
    </row>
    <row r="556" spans="28:28" x14ac:dyDescent="0.25">
      <c r="AB556" s="428"/>
    </row>
    <row r="557" spans="28:28" x14ac:dyDescent="0.25">
      <c r="AB557" s="428"/>
    </row>
    <row r="558" spans="28:28" x14ac:dyDescent="0.25">
      <c r="AB558" s="428"/>
    </row>
    <row r="559" spans="28:28" x14ac:dyDescent="0.25">
      <c r="AB559" s="428"/>
    </row>
    <row r="560" spans="28:28" x14ac:dyDescent="0.25">
      <c r="AB560" s="428"/>
    </row>
    <row r="561" spans="28:28" x14ac:dyDescent="0.25">
      <c r="AB561" s="428"/>
    </row>
    <row r="562" spans="28:28" x14ac:dyDescent="0.25">
      <c r="AB562" s="428"/>
    </row>
    <row r="563" spans="28:28" x14ac:dyDescent="0.25">
      <c r="AB563" s="428"/>
    </row>
    <row r="564" spans="28:28" x14ac:dyDescent="0.25">
      <c r="AB564" s="428"/>
    </row>
    <row r="565" spans="28:28" x14ac:dyDescent="0.25">
      <c r="AB565" s="428"/>
    </row>
    <row r="566" spans="28:28" x14ac:dyDescent="0.25">
      <c r="AB566" s="428"/>
    </row>
    <row r="567" spans="28:28" x14ac:dyDescent="0.25">
      <c r="AB567" s="428"/>
    </row>
    <row r="568" spans="28:28" x14ac:dyDescent="0.25">
      <c r="AB568" s="428"/>
    </row>
    <row r="569" spans="28:28" x14ac:dyDescent="0.25">
      <c r="AB569" s="428"/>
    </row>
    <row r="570" spans="28:28" x14ac:dyDescent="0.25">
      <c r="AB570" s="428"/>
    </row>
    <row r="571" spans="28:28" x14ac:dyDescent="0.25">
      <c r="AB571" s="428"/>
    </row>
    <row r="572" spans="28:28" x14ac:dyDescent="0.25">
      <c r="AB572" s="428"/>
    </row>
    <row r="573" spans="28:28" x14ac:dyDescent="0.25">
      <c r="AB573" s="428"/>
    </row>
    <row r="574" spans="28:28" x14ac:dyDescent="0.25">
      <c r="AB574" s="428"/>
    </row>
    <row r="575" spans="28:28" x14ac:dyDescent="0.25">
      <c r="AB575" s="428"/>
    </row>
    <row r="576" spans="28:28" x14ac:dyDescent="0.25">
      <c r="AB576" s="428"/>
    </row>
    <row r="577" spans="28:28" x14ac:dyDescent="0.25">
      <c r="AB577" s="428"/>
    </row>
    <row r="578" spans="28:28" x14ac:dyDescent="0.25">
      <c r="AB578" s="428"/>
    </row>
    <row r="579" spans="28:28" x14ac:dyDescent="0.25">
      <c r="AB579" s="428"/>
    </row>
    <row r="580" spans="28:28" x14ac:dyDescent="0.25">
      <c r="AB580" s="428"/>
    </row>
    <row r="581" spans="28:28" x14ac:dyDescent="0.25">
      <c r="AB581" s="428"/>
    </row>
    <row r="582" spans="28:28" x14ac:dyDescent="0.25">
      <c r="AB582" s="428"/>
    </row>
    <row r="583" spans="28:28" x14ac:dyDescent="0.25">
      <c r="AB583" s="428"/>
    </row>
    <row r="584" spans="28:28" x14ac:dyDescent="0.25">
      <c r="AB584" s="428"/>
    </row>
    <row r="585" spans="28:28" x14ac:dyDescent="0.25">
      <c r="AB585" s="428"/>
    </row>
    <row r="586" spans="28:28" x14ac:dyDescent="0.25">
      <c r="AB586" s="428"/>
    </row>
    <row r="587" spans="28:28" x14ac:dyDescent="0.25">
      <c r="AB587" s="428"/>
    </row>
    <row r="588" spans="28:28" x14ac:dyDescent="0.25">
      <c r="AB588" s="428"/>
    </row>
    <row r="589" spans="28:28" x14ac:dyDescent="0.25">
      <c r="AB589" s="428"/>
    </row>
    <row r="590" spans="28:28" x14ac:dyDescent="0.25">
      <c r="AB590" s="428"/>
    </row>
    <row r="591" spans="28:28" x14ac:dyDescent="0.25">
      <c r="AB591" s="428"/>
    </row>
    <row r="592" spans="28:28" x14ac:dyDescent="0.25">
      <c r="AB592" s="428"/>
    </row>
    <row r="593" spans="28:28" x14ac:dyDescent="0.25">
      <c r="AB593" s="428"/>
    </row>
    <row r="594" spans="28:28" x14ac:dyDescent="0.25">
      <c r="AB594" s="428"/>
    </row>
    <row r="595" spans="28:28" x14ac:dyDescent="0.25">
      <c r="AB595" s="428"/>
    </row>
    <row r="596" spans="28:28" x14ac:dyDescent="0.25">
      <c r="AB596" s="428"/>
    </row>
    <row r="597" spans="28:28" x14ac:dyDescent="0.25">
      <c r="AB597" s="428"/>
    </row>
    <row r="598" spans="28:28" x14ac:dyDescent="0.25">
      <c r="AB598" s="428"/>
    </row>
    <row r="599" spans="28:28" x14ac:dyDescent="0.25">
      <c r="AB599" s="428"/>
    </row>
    <row r="600" spans="28:28" x14ac:dyDescent="0.25">
      <c r="AB600" s="428"/>
    </row>
    <row r="601" spans="28:28" x14ac:dyDescent="0.25">
      <c r="AB601" s="428"/>
    </row>
    <row r="602" spans="28:28" x14ac:dyDescent="0.25">
      <c r="AB602" s="428"/>
    </row>
    <row r="603" spans="28:28" x14ac:dyDescent="0.25">
      <c r="AB603" s="428"/>
    </row>
    <row r="604" spans="28:28" x14ac:dyDescent="0.25">
      <c r="AB604" s="428"/>
    </row>
    <row r="605" spans="28:28" x14ac:dyDescent="0.25">
      <c r="AB605" s="428"/>
    </row>
    <row r="606" spans="28:28" x14ac:dyDescent="0.25">
      <c r="AB606" s="428"/>
    </row>
    <row r="607" spans="28:28" x14ac:dyDescent="0.25">
      <c r="AB607" s="428"/>
    </row>
    <row r="608" spans="28:28" x14ac:dyDescent="0.25">
      <c r="AB608" s="428"/>
    </row>
    <row r="609" spans="28:28" x14ac:dyDescent="0.25">
      <c r="AB609" s="428"/>
    </row>
    <row r="610" spans="28:28" x14ac:dyDescent="0.25">
      <c r="AB610" s="428"/>
    </row>
    <row r="611" spans="28:28" x14ac:dyDescent="0.25">
      <c r="AB611" s="428"/>
    </row>
    <row r="612" spans="28:28" x14ac:dyDescent="0.25">
      <c r="AB612" s="428"/>
    </row>
    <row r="613" spans="28:28" x14ac:dyDescent="0.25">
      <c r="AB613" s="428"/>
    </row>
    <row r="614" spans="28:28" x14ac:dyDescent="0.25">
      <c r="AB614" s="428"/>
    </row>
    <row r="615" spans="28:28" x14ac:dyDescent="0.25">
      <c r="AB615" s="428"/>
    </row>
    <row r="616" spans="28:28" x14ac:dyDescent="0.25">
      <c r="AB616" s="428"/>
    </row>
    <row r="617" spans="28:28" x14ac:dyDescent="0.25">
      <c r="AB617" s="428"/>
    </row>
    <row r="618" spans="28:28" x14ac:dyDescent="0.25">
      <c r="AB618" s="428"/>
    </row>
    <row r="619" spans="28:28" x14ac:dyDescent="0.25">
      <c r="AB619" s="428"/>
    </row>
    <row r="620" spans="28:28" x14ac:dyDescent="0.25">
      <c r="AB620" s="428"/>
    </row>
    <row r="621" spans="28:28" x14ac:dyDescent="0.25">
      <c r="AB621" s="428"/>
    </row>
    <row r="622" spans="28:28" x14ac:dyDescent="0.25">
      <c r="AB622" s="428"/>
    </row>
    <row r="623" spans="28:28" x14ac:dyDescent="0.25">
      <c r="AB623" s="428"/>
    </row>
    <row r="624" spans="28:28" x14ac:dyDescent="0.25">
      <c r="AB624" s="428"/>
    </row>
    <row r="625" spans="28:28" x14ac:dyDescent="0.25">
      <c r="AB625" s="428"/>
    </row>
    <row r="626" spans="28:28" x14ac:dyDescent="0.25">
      <c r="AB626" s="428"/>
    </row>
    <row r="627" spans="28:28" x14ac:dyDescent="0.25">
      <c r="AB627" s="428"/>
    </row>
    <row r="628" spans="28:28" x14ac:dyDescent="0.25">
      <c r="AB628" s="428"/>
    </row>
    <row r="629" spans="28:28" x14ac:dyDescent="0.25">
      <c r="AB629" s="428"/>
    </row>
    <row r="630" spans="28:28" x14ac:dyDescent="0.25">
      <c r="AB630" s="428"/>
    </row>
    <row r="631" spans="28:28" x14ac:dyDescent="0.25">
      <c r="AB631" s="428"/>
    </row>
    <row r="632" spans="28:28" x14ac:dyDescent="0.25">
      <c r="AB632" s="428"/>
    </row>
    <row r="633" spans="28:28" x14ac:dyDescent="0.25">
      <c r="AB633" s="428"/>
    </row>
    <row r="634" spans="28:28" x14ac:dyDescent="0.25">
      <c r="AB634" s="428"/>
    </row>
    <row r="635" spans="28:28" x14ac:dyDescent="0.25">
      <c r="AB635" s="428"/>
    </row>
    <row r="636" spans="28:28" x14ac:dyDescent="0.25">
      <c r="AB636" s="428"/>
    </row>
    <row r="637" spans="28:28" x14ac:dyDescent="0.25">
      <c r="AB637" s="428"/>
    </row>
    <row r="638" spans="28:28" x14ac:dyDescent="0.25">
      <c r="AB638" s="428"/>
    </row>
    <row r="639" spans="28:28" x14ac:dyDescent="0.25">
      <c r="AB639" s="428"/>
    </row>
    <row r="640" spans="28:28" x14ac:dyDescent="0.25">
      <c r="AB640" s="428"/>
    </row>
    <row r="641" spans="28:28" x14ac:dyDescent="0.25">
      <c r="AB641" s="428"/>
    </row>
    <row r="642" spans="28:28" x14ac:dyDescent="0.25">
      <c r="AB642" s="428"/>
    </row>
    <row r="643" spans="28:28" x14ac:dyDescent="0.25">
      <c r="AB643" s="428"/>
    </row>
    <row r="644" spans="28:28" x14ac:dyDescent="0.25">
      <c r="AB644" s="428"/>
    </row>
    <row r="645" spans="28:28" x14ac:dyDescent="0.25">
      <c r="AB645" s="428"/>
    </row>
    <row r="646" spans="28:28" x14ac:dyDescent="0.25">
      <c r="AB646" s="428"/>
    </row>
    <row r="647" spans="28:28" x14ac:dyDescent="0.25">
      <c r="AB647" s="428"/>
    </row>
    <row r="648" spans="28:28" x14ac:dyDescent="0.25">
      <c r="AB648" s="428"/>
    </row>
    <row r="649" spans="28:28" x14ac:dyDescent="0.25">
      <c r="AB649" s="428"/>
    </row>
    <row r="650" spans="28:28" x14ac:dyDescent="0.25">
      <c r="AB650" s="428"/>
    </row>
    <row r="651" spans="28:28" x14ac:dyDescent="0.25">
      <c r="AB651" s="428"/>
    </row>
    <row r="652" spans="28:28" x14ac:dyDescent="0.25">
      <c r="AB652" s="428"/>
    </row>
    <row r="653" spans="28:28" x14ac:dyDescent="0.25">
      <c r="AB653" s="428"/>
    </row>
    <row r="654" spans="28:28" x14ac:dyDescent="0.25">
      <c r="AB654" s="428"/>
    </row>
    <row r="655" spans="28:28" x14ac:dyDescent="0.25">
      <c r="AB655" s="428"/>
    </row>
    <row r="656" spans="28:28" x14ac:dyDescent="0.25">
      <c r="AB656" s="428"/>
    </row>
    <row r="657" spans="28:28" x14ac:dyDescent="0.25">
      <c r="AB657" s="428"/>
    </row>
    <row r="658" spans="28:28" x14ac:dyDescent="0.25">
      <c r="AB658" s="428"/>
    </row>
    <row r="659" spans="28:28" x14ac:dyDescent="0.25">
      <c r="AB659" s="428"/>
    </row>
    <row r="660" spans="28:28" x14ac:dyDescent="0.25">
      <c r="AB660" s="428"/>
    </row>
    <row r="661" spans="28:28" x14ac:dyDescent="0.25">
      <c r="AB661" s="428"/>
    </row>
    <row r="662" spans="28:28" x14ac:dyDescent="0.25">
      <c r="AB662" s="428"/>
    </row>
    <row r="663" spans="28:28" x14ac:dyDescent="0.25">
      <c r="AB663" s="428"/>
    </row>
    <row r="664" spans="28:28" x14ac:dyDescent="0.25">
      <c r="AB664" s="428"/>
    </row>
    <row r="665" spans="28:28" x14ac:dyDescent="0.25">
      <c r="AB665" s="428"/>
    </row>
    <row r="666" spans="28:28" x14ac:dyDescent="0.25">
      <c r="AB666" s="428"/>
    </row>
    <row r="667" spans="28:28" x14ac:dyDescent="0.25">
      <c r="AB667" s="428"/>
    </row>
    <row r="668" spans="28:28" x14ac:dyDescent="0.25">
      <c r="AB668" s="428"/>
    </row>
    <row r="669" spans="28:28" x14ac:dyDescent="0.25">
      <c r="AB669" s="428"/>
    </row>
    <row r="670" spans="28:28" x14ac:dyDescent="0.25">
      <c r="AB670" s="428"/>
    </row>
    <row r="671" spans="28:28" x14ac:dyDescent="0.25">
      <c r="AB671" s="428"/>
    </row>
    <row r="672" spans="28:28" x14ac:dyDescent="0.25">
      <c r="AB672" s="428"/>
    </row>
    <row r="673" spans="28:28" x14ac:dyDescent="0.25">
      <c r="AB673" s="428"/>
    </row>
    <row r="674" spans="28:28" x14ac:dyDescent="0.25">
      <c r="AB674" s="428"/>
    </row>
    <row r="675" spans="28:28" x14ac:dyDescent="0.25">
      <c r="AB675" s="428"/>
    </row>
    <row r="676" spans="28:28" x14ac:dyDescent="0.25">
      <c r="AB676" s="428"/>
    </row>
    <row r="677" spans="28:28" x14ac:dyDescent="0.25">
      <c r="AB677" s="428"/>
    </row>
    <row r="678" spans="28:28" x14ac:dyDescent="0.25">
      <c r="AB678" s="428"/>
    </row>
    <row r="679" spans="28:28" x14ac:dyDescent="0.25">
      <c r="AB679" s="428"/>
    </row>
    <row r="680" spans="28:28" x14ac:dyDescent="0.25">
      <c r="AB680" s="428"/>
    </row>
    <row r="681" spans="28:28" x14ac:dyDescent="0.25">
      <c r="AB681" s="428"/>
    </row>
    <row r="682" spans="28:28" x14ac:dyDescent="0.25">
      <c r="AB682" s="428"/>
    </row>
    <row r="683" spans="28:28" x14ac:dyDescent="0.25">
      <c r="AB683" s="428"/>
    </row>
    <row r="684" spans="28:28" x14ac:dyDescent="0.25">
      <c r="AB684" s="428"/>
    </row>
    <row r="685" spans="28:28" x14ac:dyDescent="0.25">
      <c r="AB685" s="428"/>
    </row>
    <row r="686" spans="28:28" x14ac:dyDescent="0.25">
      <c r="AB686" s="428"/>
    </row>
    <row r="687" spans="28:28" x14ac:dyDescent="0.25">
      <c r="AB687" s="428"/>
    </row>
    <row r="688" spans="28:28" x14ac:dyDescent="0.25">
      <c r="AB688" s="428"/>
    </row>
    <row r="689" spans="28:28" x14ac:dyDescent="0.25">
      <c r="AB689" s="428"/>
    </row>
    <row r="690" spans="28:28" x14ac:dyDescent="0.25">
      <c r="AB690" s="428"/>
    </row>
    <row r="691" spans="28:28" x14ac:dyDescent="0.25">
      <c r="AB691" s="428"/>
    </row>
    <row r="692" spans="28:28" x14ac:dyDescent="0.25">
      <c r="AB692" s="428"/>
    </row>
    <row r="693" spans="28:28" x14ac:dyDescent="0.25">
      <c r="AB693" s="428"/>
    </row>
    <row r="694" spans="28:28" x14ac:dyDescent="0.25">
      <c r="AB694" s="428"/>
    </row>
    <row r="695" spans="28:28" x14ac:dyDescent="0.25">
      <c r="AB695" s="428"/>
    </row>
    <row r="696" spans="28:28" x14ac:dyDescent="0.25">
      <c r="AB696" s="428"/>
    </row>
    <row r="697" spans="28:28" x14ac:dyDescent="0.25">
      <c r="AB697" s="428"/>
    </row>
    <row r="698" spans="28:28" x14ac:dyDescent="0.25">
      <c r="AB698" s="428"/>
    </row>
    <row r="699" spans="28:28" x14ac:dyDescent="0.25">
      <c r="AB699" s="428"/>
    </row>
    <row r="700" spans="28:28" x14ac:dyDescent="0.25">
      <c r="AB700" s="428"/>
    </row>
    <row r="701" spans="28:28" x14ac:dyDescent="0.25">
      <c r="AB701" s="428"/>
    </row>
    <row r="702" spans="28:28" x14ac:dyDescent="0.25">
      <c r="AB702" s="428"/>
    </row>
    <row r="703" spans="28:28" x14ac:dyDescent="0.25">
      <c r="AB703" s="428"/>
    </row>
    <row r="704" spans="28:28" x14ac:dyDescent="0.25">
      <c r="AB704" s="428"/>
    </row>
    <row r="705" spans="28:28" x14ac:dyDescent="0.25">
      <c r="AB705" s="428"/>
    </row>
    <row r="706" spans="28:28" x14ac:dyDescent="0.25">
      <c r="AB706" s="428"/>
    </row>
    <row r="707" spans="28:28" x14ac:dyDescent="0.25">
      <c r="AB707" s="428"/>
    </row>
    <row r="708" spans="28:28" x14ac:dyDescent="0.25">
      <c r="AB708" s="428"/>
    </row>
    <row r="709" spans="28:28" x14ac:dyDescent="0.25">
      <c r="AB709" s="428"/>
    </row>
    <row r="710" spans="28:28" x14ac:dyDescent="0.25">
      <c r="AB710" s="428"/>
    </row>
    <row r="711" spans="28:28" x14ac:dyDescent="0.25">
      <c r="AB711" s="428"/>
    </row>
    <row r="712" spans="28:28" x14ac:dyDescent="0.25">
      <c r="AB712" s="428"/>
    </row>
    <row r="713" spans="28:28" x14ac:dyDescent="0.25">
      <c r="AB713" s="428"/>
    </row>
    <row r="714" spans="28:28" x14ac:dyDescent="0.25">
      <c r="AB714" s="428"/>
    </row>
    <row r="715" spans="28:28" x14ac:dyDescent="0.25">
      <c r="AB715" s="428"/>
    </row>
    <row r="716" spans="28:28" x14ac:dyDescent="0.25">
      <c r="AB716" s="428"/>
    </row>
    <row r="717" spans="28:28" x14ac:dyDescent="0.25">
      <c r="AB717" s="428"/>
    </row>
    <row r="718" spans="28:28" x14ac:dyDescent="0.25">
      <c r="AB718" s="428"/>
    </row>
    <row r="719" spans="28:28" x14ac:dyDescent="0.25">
      <c r="AB719" s="428"/>
    </row>
    <row r="720" spans="28:28" x14ac:dyDescent="0.25">
      <c r="AB720" s="428"/>
    </row>
    <row r="721" spans="28:28" x14ac:dyDescent="0.25">
      <c r="AB721" s="428"/>
    </row>
    <row r="722" spans="28:28" x14ac:dyDescent="0.25">
      <c r="AB722" s="428"/>
    </row>
    <row r="723" spans="28:28" x14ac:dyDescent="0.25">
      <c r="AB723" s="428"/>
    </row>
    <row r="724" spans="28:28" x14ac:dyDescent="0.25">
      <c r="AB724" s="428"/>
    </row>
    <row r="725" spans="28:28" x14ac:dyDescent="0.25">
      <c r="AB725" s="428"/>
    </row>
    <row r="726" spans="28:28" x14ac:dyDescent="0.25">
      <c r="AB726" s="428"/>
    </row>
    <row r="727" spans="28:28" x14ac:dyDescent="0.25">
      <c r="AB727" s="428"/>
    </row>
    <row r="728" spans="28:28" x14ac:dyDescent="0.25">
      <c r="AB728" s="428"/>
    </row>
    <row r="729" spans="28:28" x14ac:dyDescent="0.25">
      <c r="AB729" s="428"/>
    </row>
    <row r="730" spans="28:28" x14ac:dyDescent="0.25">
      <c r="AB730" s="428"/>
    </row>
    <row r="731" spans="28:28" x14ac:dyDescent="0.25">
      <c r="AB731" s="428"/>
    </row>
    <row r="732" spans="28:28" x14ac:dyDescent="0.25">
      <c r="AB732" s="428"/>
    </row>
    <row r="733" spans="28:28" x14ac:dyDescent="0.25">
      <c r="AB733" s="428"/>
    </row>
    <row r="734" spans="28:28" x14ac:dyDescent="0.25">
      <c r="AB734" s="428"/>
    </row>
    <row r="735" spans="28:28" x14ac:dyDescent="0.25">
      <c r="AB735" s="428"/>
    </row>
    <row r="736" spans="28:28" x14ac:dyDescent="0.25">
      <c r="AB736" s="428"/>
    </row>
    <row r="737" spans="28:28" x14ac:dyDescent="0.25">
      <c r="AB737" s="428"/>
    </row>
    <row r="738" spans="28:28" x14ac:dyDescent="0.25">
      <c r="AB738" s="428"/>
    </row>
    <row r="739" spans="28:28" x14ac:dyDescent="0.25">
      <c r="AB739" s="428"/>
    </row>
    <row r="740" spans="28:28" x14ac:dyDescent="0.25">
      <c r="AB740" s="428"/>
    </row>
    <row r="741" spans="28:28" x14ac:dyDescent="0.25">
      <c r="AB741" s="428"/>
    </row>
    <row r="742" spans="28:28" x14ac:dyDescent="0.25">
      <c r="AB742" s="428"/>
    </row>
    <row r="743" spans="28:28" x14ac:dyDescent="0.25">
      <c r="AB743" s="428"/>
    </row>
    <row r="744" spans="28:28" x14ac:dyDescent="0.25">
      <c r="AB744" s="428"/>
    </row>
    <row r="745" spans="28:28" x14ac:dyDescent="0.25">
      <c r="AB745" s="428"/>
    </row>
    <row r="746" spans="28:28" x14ac:dyDescent="0.25">
      <c r="AB746" s="428"/>
    </row>
    <row r="747" spans="28:28" x14ac:dyDescent="0.25">
      <c r="AB747" s="428"/>
    </row>
    <row r="748" spans="28:28" x14ac:dyDescent="0.25">
      <c r="AB748" s="428"/>
    </row>
    <row r="749" spans="28:28" x14ac:dyDescent="0.25">
      <c r="AB749" s="428"/>
    </row>
    <row r="750" spans="28:28" x14ac:dyDescent="0.25">
      <c r="AB750" s="428"/>
    </row>
    <row r="751" spans="28:28" x14ac:dyDescent="0.25">
      <c r="AB751" s="428"/>
    </row>
    <row r="752" spans="28:28" x14ac:dyDescent="0.25">
      <c r="AB752" s="428"/>
    </row>
    <row r="753" spans="28:28" x14ac:dyDescent="0.25">
      <c r="AB753" s="428"/>
    </row>
    <row r="754" spans="28:28" x14ac:dyDescent="0.25">
      <c r="AB754" s="428"/>
    </row>
    <row r="755" spans="28:28" x14ac:dyDescent="0.25">
      <c r="AB755" s="428"/>
    </row>
    <row r="756" spans="28:28" x14ac:dyDescent="0.25">
      <c r="AB756" s="428"/>
    </row>
    <row r="757" spans="28:28" x14ac:dyDescent="0.25">
      <c r="AB757" s="428"/>
    </row>
    <row r="758" spans="28:28" x14ac:dyDescent="0.25">
      <c r="AB758" s="428"/>
    </row>
    <row r="759" spans="28:28" x14ac:dyDescent="0.25">
      <c r="AB759" s="428"/>
    </row>
    <row r="760" spans="28:28" x14ac:dyDescent="0.25">
      <c r="AB760" s="428"/>
    </row>
    <row r="761" spans="28:28" x14ac:dyDescent="0.25">
      <c r="AB761" s="428"/>
    </row>
    <row r="762" spans="28:28" x14ac:dyDescent="0.25">
      <c r="AB762" s="428"/>
    </row>
    <row r="763" spans="28:28" x14ac:dyDescent="0.25">
      <c r="AB763" s="428"/>
    </row>
    <row r="764" spans="28:28" x14ac:dyDescent="0.25">
      <c r="AB764" s="428"/>
    </row>
    <row r="765" spans="28:28" x14ac:dyDescent="0.25">
      <c r="AB765" s="428"/>
    </row>
    <row r="766" spans="28:28" x14ac:dyDescent="0.25">
      <c r="AB766" s="428"/>
    </row>
    <row r="767" spans="28:28" x14ac:dyDescent="0.25">
      <c r="AB767" s="428"/>
    </row>
    <row r="768" spans="28:28" x14ac:dyDescent="0.25">
      <c r="AB768" s="428"/>
    </row>
    <row r="769" spans="28:28" x14ac:dyDescent="0.25">
      <c r="AB769" s="428"/>
    </row>
    <row r="770" spans="28:28" x14ac:dyDescent="0.25">
      <c r="AB770" s="428"/>
    </row>
    <row r="771" spans="28:28" x14ac:dyDescent="0.25">
      <c r="AB771" s="428"/>
    </row>
    <row r="772" spans="28:28" x14ac:dyDescent="0.25">
      <c r="AB772" s="428"/>
    </row>
    <row r="773" spans="28:28" x14ac:dyDescent="0.25">
      <c r="AB773" s="428"/>
    </row>
    <row r="774" spans="28:28" x14ac:dyDescent="0.25">
      <c r="AB774" s="428"/>
    </row>
    <row r="775" spans="28:28" x14ac:dyDescent="0.25">
      <c r="AB775" s="428"/>
    </row>
    <row r="776" spans="28:28" x14ac:dyDescent="0.25">
      <c r="AB776" s="428"/>
    </row>
    <row r="777" spans="28:28" x14ac:dyDescent="0.25">
      <c r="AB777" s="428"/>
    </row>
    <row r="778" spans="28:28" x14ac:dyDescent="0.25">
      <c r="AB778" s="428"/>
    </row>
    <row r="779" spans="28:28" x14ac:dyDescent="0.25">
      <c r="AB779" s="428"/>
    </row>
    <row r="780" spans="28:28" x14ac:dyDescent="0.25">
      <c r="AB780" s="428"/>
    </row>
    <row r="781" spans="28:28" x14ac:dyDescent="0.25">
      <c r="AB781" s="428"/>
    </row>
    <row r="782" spans="28:28" x14ac:dyDescent="0.25">
      <c r="AB782" s="428"/>
    </row>
    <row r="783" spans="28:28" x14ac:dyDescent="0.25">
      <c r="AB783" s="428"/>
    </row>
    <row r="784" spans="28:28" x14ac:dyDescent="0.25">
      <c r="AB784" s="428"/>
    </row>
    <row r="785" spans="28:28" x14ac:dyDescent="0.25">
      <c r="AB785" s="428"/>
    </row>
    <row r="786" spans="28:28" x14ac:dyDescent="0.25">
      <c r="AB786" s="428"/>
    </row>
    <row r="787" spans="28:28" x14ac:dyDescent="0.25">
      <c r="AB787" s="428"/>
    </row>
    <row r="788" spans="28:28" x14ac:dyDescent="0.25">
      <c r="AB788" s="428"/>
    </row>
    <row r="789" spans="28:28" x14ac:dyDescent="0.25">
      <c r="AB789" s="428"/>
    </row>
    <row r="790" spans="28:28" x14ac:dyDescent="0.25">
      <c r="AB790" s="428"/>
    </row>
    <row r="791" spans="28:28" x14ac:dyDescent="0.25">
      <c r="AB791" s="428"/>
    </row>
    <row r="792" spans="28:28" x14ac:dyDescent="0.25">
      <c r="AB792" s="428"/>
    </row>
    <row r="793" spans="28:28" x14ac:dyDescent="0.25">
      <c r="AB793" s="428"/>
    </row>
    <row r="794" spans="28:28" x14ac:dyDescent="0.25">
      <c r="AB794" s="428"/>
    </row>
    <row r="795" spans="28:28" x14ac:dyDescent="0.25">
      <c r="AB795" s="428"/>
    </row>
    <row r="796" spans="28:28" x14ac:dyDescent="0.25">
      <c r="AB796" s="428"/>
    </row>
    <row r="797" spans="28:28" x14ac:dyDescent="0.25">
      <c r="AB797" s="428"/>
    </row>
    <row r="798" spans="28:28" x14ac:dyDescent="0.25">
      <c r="AB798" s="428"/>
    </row>
    <row r="799" spans="28:28" x14ac:dyDescent="0.25">
      <c r="AB799" s="428"/>
    </row>
    <row r="800" spans="28:28" x14ac:dyDescent="0.25">
      <c r="AB800" s="428"/>
    </row>
    <row r="801" spans="28:28" x14ac:dyDescent="0.25">
      <c r="AB801" s="428"/>
    </row>
    <row r="802" spans="28:28" x14ac:dyDescent="0.25">
      <c r="AB802" s="428"/>
    </row>
    <row r="803" spans="28:28" x14ac:dyDescent="0.25">
      <c r="AB803" s="428"/>
    </row>
    <row r="804" spans="28:28" x14ac:dyDescent="0.25">
      <c r="AB804" s="428"/>
    </row>
    <row r="805" spans="28:28" x14ac:dyDescent="0.25">
      <c r="AB805" s="428"/>
    </row>
    <row r="806" spans="28:28" x14ac:dyDescent="0.25">
      <c r="AB806" s="428"/>
    </row>
    <row r="807" spans="28:28" x14ac:dyDescent="0.25">
      <c r="AB807" s="428"/>
    </row>
    <row r="808" spans="28:28" x14ac:dyDescent="0.25">
      <c r="AB808" s="428"/>
    </row>
    <row r="809" spans="28:28" x14ac:dyDescent="0.25">
      <c r="AB809" s="428"/>
    </row>
    <row r="810" spans="28:28" x14ac:dyDescent="0.25">
      <c r="AB810" s="428"/>
    </row>
    <row r="811" spans="28:28" x14ac:dyDescent="0.25">
      <c r="AB811" s="428"/>
    </row>
    <row r="812" spans="28:28" x14ac:dyDescent="0.25">
      <c r="AB812" s="428"/>
    </row>
    <row r="813" spans="28:28" x14ac:dyDescent="0.25">
      <c r="AB813" s="428"/>
    </row>
    <row r="814" spans="28:28" x14ac:dyDescent="0.25">
      <c r="AB814" s="428"/>
    </row>
    <row r="815" spans="28:28" x14ac:dyDescent="0.25">
      <c r="AB815" s="428"/>
    </row>
    <row r="816" spans="28:28" x14ac:dyDescent="0.25">
      <c r="AB816" s="428"/>
    </row>
    <row r="817" spans="28:28" x14ac:dyDescent="0.25">
      <c r="AB817" s="428"/>
    </row>
    <row r="818" spans="28:28" x14ac:dyDescent="0.25">
      <c r="AB818" s="428"/>
    </row>
    <row r="819" spans="28:28" x14ac:dyDescent="0.25">
      <c r="AB819" s="428"/>
    </row>
    <row r="820" spans="28:28" x14ac:dyDescent="0.25">
      <c r="AB820" s="428"/>
    </row>
    <row r="821" spans="28:28" x14ac:dyDescent="0.25">
      <c r="AB821" s="428"/>
    </row>
    <row r="822" spans="28:28" x14ac:dyDescent="0.25">
      <c r="AB822" s="428"/>
    </row>
    <row r="823" spans="28:28" x14ac:dyDescent="0.25">
      <c r="AB823" s="428"/>
    </row>
    <row r="824" spans="28:28" x14ac:dyDescent="0.25">
      <c r="AB824" s="428"/>
    </row>
    <row r="825" spans="28:28" x14ac:dyDescent="0.25">
      <c r="AB825" s="428"/>
    </row>
    <row r="826" spans="28:28" x14ac:dyDescent="0.25">
      <c r="AB826" s="428"/>
    </row>
    <row r="827" spans="28:28" x14ac:dyDescent="0.25">
      <c r="AB827" s="428"/>
    </row>
    <row r="828" spans="28:28" x14ac:dyDescent="0.25">
      <c r="AB828" s="428"/>
    </row>
    <row r="829" spans="28:28" x14ac:dyDescent="0.25">
      <c r="AB829" s="428"/>
    </row>
    <row r="830" spans="28:28" x14ac:dyDescent="0.25">
      <c r="AB830" s="428"/>
    </row>
    <row r="831" spans="28:28" x14ac:dyDescent="0.25">
      <c r="AB831" s="428"/>
    </row>
    <row r="832" spans="28:28" x14ac:dyDescent="0.25">
      <c r="AB832" s="428"/>
    </row>
    <row r="833" spans="28:28" x14ac:dyDescent="0.25">
      <c r="AB833" s="428"/>
    </row>
    <row r="834" spans="28:28" x14ac:dyDescent="0.25">
      <c r="AB834" s="428"/>
    </row>
    <row r="835" spans="28:28" x14ac:dyDescent="0.25">
      <c r="AB835" s="428"/>
    </row>
    <row r="836" spans="28:28" x14ac:dyDescent="0.25">
      <c r="AB836" s="428"/>
    </row>
    <row r="837" spans="28:28" x14ac:dyDescent="0.25">
      <c r="AB837" s="428"/>
    </row>
    <row r="838" spans="28:28" x14ac:dyDescent="0.25">
      <c r="AB838" s="428"/>
    </row>
    <row r="839" spans="28:28" x14ac:dyDescent="0.25">
      <c r="AB839" s="428"/>
    </row>
    <row r="840" spans="28:28" x14ac:dyDescent="0.25">
      <c r="AB840" s="428"/>
    </row>
    <row r="841" spans="28:28" x14ac:dyDescent="0.25">
      <c r="AB841" s="428"/>
    </row>
    <row r="842" spans="28:28" x14ac:dyDescent="0.25">
      <c r="AB842" s="428"/>
    </row>
    <row r="843" spans="28:28" x14ac:dyDescent="0.25">
      <c r="AB843" s="428"/>
    </row>
    <row r="844" spans="28:28" x14ac:dyDescent="0.25">
      <c r="AB844" s="428"/>
    </row>
    <row r="845" spans="28:28" x14ac:dyDescent="0.25">
      <c r="AB845" s="428"/>
    </row>
    <row r="846" spans="28:28" x14ac:dyDescent="0.25">
      <c r="AB846" s="428"/>
    </row>
    <row r="847" spans="28:28" x14ac:dyDescent="0.25">
      <c r="AB847" s="428"/>
    </row>
    <row r="848" spans="28:28" x14ac:dyDescent="0.25">
      <c r="AB848" s="428"/>
    </row>
    <row r="849" spans="28:28" x14ac:dyDescent="0.25">
      <c r="AB849" s="428"/>
    </row>
    <row r="850" spans="28:28" x14ac:dyDescent="0.25">
      <c r="AB850" s="428"/>
    </row>
    <row r="851" spans="28:28" x14ac:dyDescent="0.25">
      <c r="AB851" s="428"/>
    </row>
    <row r="852" spans="28:28" x14ac:dyDescent="0.25">
      <c r="AB852" s="428"/>
    </row>
    <row r="853" spans="28:28" x14ac:dyDescent="0.25">
      <c r="AB853" s="428"/>
    </row>
    <row r="854" spans="28:28" x14ac:dyDescent="0.25">
      <c r="AB854" s="428"/>
    </row>
    <row r="855" spans="28:28" x14ac:dyDescent="0.25">
      <c r="AB855" s="428"/>
    </row>
    <row r="856" spans="28:28" x14ac:dyDescent="0.25">
      <c r="AB856" s="428"/>
    </row>
    <row r="857" spans="28:28" x14ac:dyDescent="0.25">
      <c r="AB857" s="428"/>
    </row>
    <row r="858" spans="28:28" x14ac:dyDescent="0.25">
      <c r="AB858" s="428"/>
    </row>
    <row r="859" spans="28:28" x14ac:dyDescent="0.25">
      <c r="AB859" s="428"/>
    </row>
    <row r="860" spans="28:28" x14ac:dyDescent="0.25">
      <c r="AB860" s="428"/>
    </row>
    <row r="861" spans="28:28" x14ac:dyDescent="0.25">
      <c r="AB861" s="428"/>
    </row>
    <row r="862" spans="28:28" x14ac:dyDescent="0.25">
      <c r="AB862" s="428"/>
    </row>
    <row r="863" spans="28:28" x14ac:dyDescent="0.25">
      <c r="AB863" s="428"/>
    </row>
    <row r="864" spans="28:28" x14ac:dyDescent="0.25">
      <c r="AB864" s="428"/>
    </row>
    <row r="865" spans="28:28" x14ac:dyDescent="0.25">
      <c r="AB865" s="428"/>
    </row>
    <row r="866" spans="28:28" x14ac:dyDescent="0.25">
      <c r="AB866" s="428"/>
    </row>
    <row r="867" spans="28:28" x14ac:dyDescent="0.25">
      <c r="AB867" s="428"/>
    </row>
    <row r="868" spans="28:28" x14ac:dyDescent="0.25">
      <c r="AB868" s="428"/>
    </row>
    <row r="869" spans="28:28" x14ac:dyDescent="0.25">
      <c r="AB869" s="428"/>
    </row>
    <row r="870" spans="28:28" x14ac:dyDescent="0.25">
      <c r="AB870" s="428"/>
    </row>
    <row r="871" spans="28:28" x14ac:dyDescent="0.25">
      <c r="AB871" s="428"/>
    </row>
    <row r="872" spans="28:28" x14ac:dyDescent="0.25">
      <c r="AB872" s="428"/>
    </row>
    <row r="873" spans="28:28" x14ac:dyDescent="0.25">
      <c r="AB873" s="428"/>
    </row>
    <row r="874" spans="28:28" x14ac:dyDescent="0.25">
      <c r="AB874" s="428"/>
    </row>
    <row r="875" spans="28:28" x14ac:dyDescent="0.25">
      <c r="AB875" s="428"/>
    </row>
    <row r="876" spans="28:28" x14ac:dyDescent="0.25">
      <c r="AB876" s="428"/>
    </row>
    <row r="877" spans="28:28" x14ac:dyDescent="0.25">
      <c r="AB877" s="428"/>
    </row>
    <row r="878" spans="28:28" x14ac:dyDescent="0.25">
      <c r="AB878" s="428"/>
    </row>
    <row r="879" spans="28:28" x14ac:dyDescent="0.25">
      <c r="AB879" s="428"/>
    </row>
    <row r="880" spans="28:28" x14ac:dyDescent="0.25">
      <c r="AB880" s="428"/>
    </row>
    <row r="881" spans="28:28" x14ac:dyDescent="0.25">
      <c r="AB881" s="428"/>
    </row>
    <row r="882" spans="28:28" x14ac:dyDescent="0.25">
      <c r="AB882" s="428"/>
    </row>
    <row r="883" spans="28:28" x14ac:dyDescent="0.25">
      <c r="AB883" s="428"/>
    </row>
    <row r="884" spans="28:28" x14ac:dyDescent="0.25">
      <c r="AB884" s="428"/>
    </row>
    <row r="885" spans="28:28" x14ac:dyDescent="0.25">
      <c r="AB885" s="428"/>
    </row>
    <row r="886" spans="28:28" x14ac:dyDescent="0.25">
      <c r="AB886" s="428"/>
    </row>
    <row r="887" spans="28:28" x14ac:dyDescent="0.25">
      <c r="AB887" s="428"/>
    </row>
    <row r="888" spans="28:28" x14ac:dyDescent="0.25">
      <c r="AB888" s="428"/>
    </row>
    <row r="889" spans="28:28" x14ac:dyDescent="0.25">
      <c r="AB889" s="428"/>
    </row>
    <row r="890" spans="28:28" x14ac:dyDescent="0.25">
      <c r="AB890" s="428"/>
    </row>
    <row r="891" spans="28:28" x14ac:dyDescent="0.25">
      <c r="AB891" s="428"/>
    </row>
    <row r="892" spans="28:28" x14ac:dyDescent="0.25">
      <c r="AB892" s="428"/>
    </row>
    <row r="893" spans="28:28" x14ac:dyDescent="0.25">
      <c r="AB893" s="428"/>
    </row>
    <row r="894" spans="28:28" x14ac:dyDescent="0.25">
      <c r="AB894" s="428"/>
    </row>
    <row r="895" spans="28:28" x14ac:dyDescent="0.25">
      <c r="AB895" s="428"/>
    </row>
    <row r="896" spans="28:28" x14ac:dyDescent="0.25">
      <c r="AB896" s="428"/>
    </row>
    <row r="897" spans="28:28" x14ac:dyDescent="0.25">
      <c r="AB897" s="428"/>
    </row>
    <row r="898" spans="28:28" x14ac:dyDescent="0.25">
      <c r="AB898" s="428"/>
    </row>
    <row r="899" spans="28:28" x14ac:dyDescent="0.25">
      <c r="AB899" s="428"/>
    </row>
    <row r="900" spans="28:28" x14ac:dyDescent="0.25">
      <c r="AB900" s="428"/>
    </row>
    <row r="901" spans="28:28" x14ac:dyDescent="0.25">
      <c r="AB901" s="428"/>
    </row>
    <row r="902" spans="28:28" x14ac:dyDescent="0.25">
      <c r="AB902" s="428"/>
    </row>
    <row r="903" spans="28:28" x14ac:dyDescent="0.25">
      <c r="AB903" s="428"/>
    </row>
    <row r="904" spans="28:28" x14ac:dyDescent="0.25">
      <c r="AB904" s="428"/>
    </row>
    <row r="905" spans="28:28" x14ac:dyDescent="0.25">
      <c r="AB905" s="428"/>
    </row>
    <row r="906" spans="28:28" x14ac:dyDescent="0.25">
      <c r="AB906" s="428"/>
    </row>
    <row r="907" spans="28:28" x14ac:dyDescent="0.25">
      <c r="AB907" s="428"/>
    </row>
    <row r="908" spans="28:28" x14ac:dyDescent="0.25">
      <c r="AB908" s="428"/>
    </row>
    <row r="909" spans="28:28" x14ac:dyDescent="0.25">
      <c r="AB909" s="428"/>
    </row>
    <row r="910" spans="28:28" x14ac:dyDescent="0.25">
      <c r="AB910" s="428"/>
    </row>
    <row r="911" spans="28:28" x14ac:dyDescent="0.25">
      <c r="AB911" s="428"/>
    </row>
    <row r="912" spans="28:28" x14ac:dyDescent="0.25">
      <c r="AB912" s="428"/>
    </row>
    <row r="913" spans="28:28" x14ac:dyDescent="0.25">
      <c r="AB913" s="428"/>
    </row>
    <row r="914" spans="28:28" x14ac:dyDescent="0.25">
      <c r="AB914" s="428"/>
    </row>
    <row r="915" spans="28:28" x14ac:dyDescent="0.25">
      <c r="AB915" s="428"/>
    </row>
    <row r="916" spans="28:28" x14ac:dyDescent="0.25">
      <c r="AB916" s="428"/>
    </row>
    <row r="917" spans="28:28" x14ac:dyDescent="0.25">
      <c r="AB917" s="428"/>
    </row>
    <row r="918" spans="28:28" x14ac:dyDescent="0.25">
      <c r="AB918" s="428"/>
    </row>
    <row r="919" spans="28:28" x14ac:dyDescent="0.25">
      <c r="AB919" s="428"/>
    </row>
    <row r="920" spans="28:28" x14ac:dyDescent="0.25">
      <c r="AB920" s="428"/>
    </row>
    <row r="921" spans="28:28" x14ac:dyDescent="0.25">
      <c r="AB921" s="428"/>
    </row>
    <row r="922" spans="28:28" x14ac:dyDescent="0.25">
      <c r="AB922" s="428"/>
    </row>
    <row r="923" spans="28:28" x14ac:dyDescent="0.25">
      <c r="AB923" s="428"/>
    </row>
    <row r="924" spans="28:28" x14ac:dyDescent="0.25">
      <c r="AB924" s="428"/>
    </row>
    <row r="925" spans="28:28" x14ac:dyDescent="0.25">
      <c r="AB925" s="428"/>
    </row>
    <row r="926" spans="28:28" x14ac:dyDescent="0.25">
      <c r="AB926" s="428"/>
    </row>
    <row r="927" spans="28:28" x14ac:dyDescent="0.25">
      <c r="AB927" s="428"/>
    </row>
    <row r="928" spans="28:28" x14ac:dyDescent="0.25">
      <c r="AB928" s="428"/>
    </row>
    <row r="929" spans="28:28" x14ac:dyDescent="0.25">
      <c r="AB929" s="428"/>
    </row>
    <row r="930" spans="28:28" x14ac:dyDescent="0.25">
      <c r="AB930" s="428"/>
    </row>
    <row r="931" spans="28:28" x14ac:dyDescent="0.25">
      <c r="AB931" s="428"/>
    </row>
    <row r="932" spans="28:28" x14ac:dyDescent="0.25">
      <c r="AB932" s="428"/>
    </row>
    <row r="933" spans="28:28" x14ac:dyDescent="0.25">
      <c r="AB933" s="428"/>
    </row>
    <row r="934" spans="28:28" x14ac:dyDescent="0.25">
      <c r="AB934" s="428"/>
    </row>
    <row r="935" spans="28:28" x14ac:dyDescent="0.25">
      <c r="AB935" s="428"/>
    </row>
    <row r="936" spans="28:28" x14ac:dyDescent="0.25">
      <c r="AB936" s="428"/>
    </row>
    <row r="937" spans="28:28" x14ac:dyDescent="0.25">
      <c r="AB937" s="428"/>
    </row>
    <row r="938" spans="28:28" x14ac:dyDescent="0.25">
      <c r="AB938" s="428"/>
    </row>
    <row r="939" spans="28:28" x14ac:dyDescent="0.25">
      <c r="AB939" s="428"/>
    </row>
    <row r="940" spans="28:28" x14ac:dyDescent="0.25">
      <c r="AB940" s="428"/>
    </row>
    <row r="941" spans="28:28" x14ac:dyDescent="0.25">
      <c r="AB941" s="428"/>
    </row>
    <row r="942" spans="28:28" x14ac:dyDescent="0.25">
      <c r="AB942" s="428"/>
    </row>
    <row r="943" spans="28:28" x14ac:dyDescent="0.25">
      <c r="AB943" s="428"/>
    </row>
    <row r="944" spans="28:28" x14ac:dyDescent="0.25">
      <c r="AB944" s="428"/>
    </row>
    <row r="945" spans="28:28" x14ac:dyDescent="0.25">
      <c r="AB945" s="428"/>
    </row>
    <row r="946" spans="28:28" x14ac:dyDescent="0.25">
      <c r="AB946" s="428"/>
    </row>
    <row r="947" spans="28:28" x14ac:dyDescent="0.25">
      <c r="AB947" s="428"/>
    </row>
    <row r="948" spans="28:28" x14ac:dyDescent="0.25">
      <c r="AB948" s="428"/>
    </row>
    <row r="949" spans="28:28" x14ac:dyDescent="0.25">
      <c r="AB949" s="428"/>
    </row>
    <row r="950" spans="28:28" x14ac:dyDescent="0.25">
      <c r="AB950" s="428"/>
    </row>
    <row r="951" spans="28:28" x14ac:dyDescent="0.25">
      <c r="AB951" s="428"/>
    </row>
    <row r="952" spans="28:28" x14ac:dyDescent="0.25">
      <c r="AB952" s="428"/>
    </row>
    <row r="953" spans="28:28" x14ac:dyDescent="0.25">
      <c r="AB953" s="428"/>
    </row>
    <row r="954" spans="28:28" x14ac:dyDescent="0.25">
      <c r="AB954" s="428"/>
    </row>
    <row r="955" spans="28:28" x14ac:dyDescent="0.25">
      <c r="AB955" s="428"/>
    </row>
    <row r="956" spans="28:28" x14ac:dyDescent="0.25">
      <c r="AB956" s="428"/>
    </row>
    <row r="957" spans="28:28" x14ac:dyDescent="0.25">
      <c r="AB957" s="428"/>
    </row>
    <row r="958" spans="28:28" x14ac:dyDescent="0.25">
      <c r="AB958" s="428"/>
    </row>
    <row r="959" spans="28:28" x14ac:dyDescent="0.25">
      <c r="AB959" s="428"/>
    </row>
    <row r="960" spans="28:28" x14ac:dyDescent="0.25">
      <c r="AB960" s="428"/>
    </row>
    <row r="961" spans="28:28" x14ac:dyDescent="0.25">
      <c r="AB961" s="428"/>
    </row>
    <row r="962" spans="28:28" x14ac:dyDescent="0.25">
      <c r="AB962" s="428"/>
    </row>
    <row r="963" spans="28:28" x14ac:dyDescent="0.25">
      <c r="AB963" s="428"/>
    </row>
    <row r="964" spans="28:28" x14ac:dyDescent="0.25">
      <c r="AB964" s="428"/>
    </row>
    <row r="965" spans="28:28" x14ac:dyDescent="0.25">
      <c r="AB965" s="428"/>
    </row>
    <row r="966" spans="28:28" x14ac:dyDescent="0.25">
      <c r="AB966" s="428"/>
    </row>
    <row r="967" spans="28:28" x14ac:dyDescent="0.25">
      <c r="AB967" s="428"/>
    </row>
    <row r="968" spans="28:28" x14ac:dyDescent="0.25">
      <c r="AB968" s="428"/>
    </row>
    <row r="969" spans="28:28" x14ac:dyDescent="0.25">
      <c r="AB969" s="428"/>
    </row>
    <row r="970" spans="28:28" x14ac:dyDescent="0.25">
      <c r="AB970" s="428"/>
    </row>
    <row r="971" spans="28:28" x14ac:dyDescent="0.25">
      <c r="AB971" s="428"/>
    </row>
    <row r="972" spans="28:28" x14ac:dyDescent="0.25">
      <c r="AB972" s="428"/>
    </row>
    <row r="973" spans="28:28" x14ac:dyDescent="0.25">
      <c r="AB973" s="428"/>
    </row>
    <row r="974" spans="28:28" x14ac:dyDescent="0.25">
      <c r="AB974" s="428"/>
    </row>
    <row r="975" spans="28:28" x14ac:dyDescent="0.25">
      <c r="AB975" s="428"/>
    </row>
    <row r="976" spans="28:28" x14ac:dyDescent="0.25">
      <c r="AB976" s="428"/>
    </row>
    <row r="977" spans="28:28" x14ac:dyDescent="0.25">
      <c r="AB977" s="428"/>
    </row>
    <row r="978" spans="28:28" x14ac:dyDescent="0.25">
      <c r="AB978" s="428"/>
    </row>
    <row r="979" spans="28:28" x14ac:dyDescent="0.25">
      <c r="AB979" s="428"/>
    </row>
    <row r="980" spans="28:28" x14ac:dyDescent="0.25">
      <c r="AB980" s="428"/>
    </row>
    <row r="981" spans="28:28" x14ac:dyDescent="0.25">
      <c r="AB981" s="428"/>
    </row>
    <row r="982" spans="28:28" x14ac:dyDescent="0.25">
      <c r="AB982" s="428"/>
    </row>
    <row r="983" spans="28:28" x14ac:dyDescent="0.25">
      <c r="AB983" s="428"/>
    </row>
    <row r="984" spans="28:28" x14ac:dyDescent="0.25">
      <c r="AB984" s="428"/>
    </row>
    <row r="985" spans="28:28" x14ac:dyDescent="0.25">
      <c r="AB985" s="428"/>
    </row>
    <row r="986" spans="28:28" x14ac:dyDescent="0.25">
      <c r="AB986" s="428"/>
    </row>
    <row r="987" spans="28:28" x14ac:dyDescent="0.25">
      <c r="AB987" s="428"/>
    </row>
    <row r="988" spans="28:28" x14ac:dyDescent="0.25">
      <c r="AB988" s="428"/>
    </row>
    <row r="989" spans="28:28" x14ac:dyDescent="0.25">
      <c r="AB989" s="428"/>
    </row>
    <row r="990" spans="28:28" x14ac:dyDescent="0.25">
      <c r="AB990" s="428"/>
    </row>
    <row r="991" spans="28:28" x14ac:dyDescent="0.25">
      <c r="AB991" s="428"/>
    </row>
    <row r="992" spans="28:28" x14ac:dyDescent="0.25">
      <c r="AB992" s="428"/>
    </row>
    <row r="993" spans="28:28" x14ac:dyDescent="0.25">
      <c r="AB993" s="428"/>
    </row>
    <row r="994" spans="28:28" x14ac:dyDescent="0.25">
      <c r="AB994" s="428"/>
    </row>
    <row r="995" spans="28:28" x14ac:dyDescent="0.25">
      <c r="AB995" s="428"/>
    </row>
    <row r="996" spans="28:28" x14ac:dyDescent="0.25">
      <c r="AB996" s="428"/>
    </row>
    <row r="997" spans="28:28" x14ac:dyDescent="0.25">
      <c r="AB997" s="428"/>
    </row>
    <row r="998" spans="28:28" x14ac:dyDescent="0.25">
      <c r="AB998" s="428"/>
    </row>
    <row r="999" spans="28:28" x14ac:dyDescent="0.25">
      <c r="AB999" s="428"/>
    </row>
    <row r="1000" spans="28:28" x14ac:dyDescent="0.25">
      <c r="AB1000" s="428"/>
    </row>
    <row r="1001" spans="28:28" x14ac:dyDescent="0.25">
      <c r="AB1001" s="428"/>
    </row>
    <row r="1002" spans="28:28" x14ac:dyDescent="0.25">
      <c r="AB1002" s="428"/>
    </row>
    <row r="1003" spans="28:28" x14ac:dyDescent="0.25">
      <c r="AB1003" s="428"/>
    </row>
    <row r="1004" spans="28:28" x14ac:dyDescent="0.25">
      <c r="AB1004" s="428"/>
    </row>
    <row r="1005" spans="28:28" x14ac:dyDescent="0.25">
      <c r="AB1005" s="428"/>
    </row>
    <row r="1006" spans="28:28" x14ac:dyDescent="0.25">
      <c r="AB1006" s="428"/>
    </row>
    <row r="1007" spans="28:28" x14ac:dyDescent="0.25">
      <c r="AB1007" s="428"/>
    </row>
    <row r="1008" spans="28:28" x14ac:dyDescent="0.25">
      <c r="AB1008" s="428"/>
    </row>
    <row r="1009" spans="28:28" x14ac:dyDescent="0.25">
      <c r="AB1009" s="428"/>
    </row>
    <row r="1010" spans="28:28" x14ac:dyDescent="0.25">
      <c r="AB1010" s="428"/>
    </row>
    <row r="1011" spans="28:28" x14ac:dyDescent="0.25">
      <c r="AB1011" s="428"/>
    </row>
    <row r="1012" spans="28:28" x14ac:dyDescent="0.25">
      <c r="AB1012" s="428"/>
    </row>
    <row r="1013" spans="28:28" x14ac:dyDescent="0.25">
      <c r="AB1013" s="428"/>
    </row>
    <row r="1014" spans="28:28" x14ac:dyDescent="0.25">
      <c r="AB1014" s="428"/>
    </row>
    <row r="1015" spans="28:28" x14ac:dyDescent="0.25">
      <c r="AB1015" s="428"/>
    </row>
    <row r="1016" spans="28:28" x14ac:dyDescent="0.25">
      <c r="AB1016" s="428"/>
    </row>
    <row r="1017" spans="28:28" x14ac:dyDescent="0.25">
      <c r="AB1017" s="428"/>
    </row>
    <row r="1018" spans="28:28" x14ac:dyDescent="0.25">
      <c r="AB1018" s="428"/>
    </row>
    <row r="1019" spans="28:28" x14ac:dyDescent="0.25">
      <c r="AB1019" s="428"/>
    </row>
    <row r="1020" spans="28:28" x14ac:dyDescent="0.25">
      <c r="AB1020" s="428"/>
    </row>
    <row r="1021" spans="28:28" x14ac:dyDescent="0.25">
      <c r="AB1021" s="428"/>
    </row>
    <row r="1022" spans="28:28" x14ac:dyDescent="0.25">
      <c r="AB1022" s="428"/>
    </row>
    <row r="1023" spans="28:28" x14ac:dyDescent="0.25">
      <c r="AB1023" s="428"/>
    </row>
    <row r="1024" spans="28:28" x14ac:dyDescent="0.25">
      <c r="AB1024" s="428"/>
    </row>
    <row r="1025" spans="28:28" x14ac:dyDescent="0.25">
      <c r="AB1025" s="428"/>
    </row>
    <row r="1026" spans="28:28" x14ac:dyDescent="0.25">
      <c r="AB1026" s="428"/>
    </row>
    <row r="1027" spans="28:28" x14ac:dyDescent="0.25">
      <c r="AB1027" s="428"/>
    </row>
    <row r="1028" spans="28:28" x14ac:dyDescent="0.25">
      <c r="AB1028" s="428"/>
    </row>
    <row r="1029" spans="28:28" x14ac:dyDescent="0.25">
      <c r="AB1029" s="428"/>
    </row>
    <row r="1030" spans="28:28" x14ac:dyDescent="0.25">
      <c r="AB1030" s="428"/>
    </row>
    <row r="1031" spans="28:28" x14ac:dyDescent="0.25">
      <c r="AB1031" s="428"/>
    </row>
    <row r="1032" spans="28:28" x14ac:dyDescent="0.25">
      <c r="AB1032" s="428"/>
    </row>
    <row r="1033" spans="28:28" x14ac:dyDescent="0.25">
      <c r="AB1033" s="428"/>
    </row>
    <row r="1034" spans="28:28" x14ac:dyDescent="0.25">
      <c r="AB1034" s="428"/>
    </row>
    <row r="1035" spans="28:28" x14ac:dyDescent="0.25">
      <c r="AB1035" s="428"/>
    </row>
    <row r="1036" spans="28:28" x14ac:dyDescent="0.25">
      <c r="AB1036" s="428"/>
    </row>
    <row r="1037" spans="28:28" x14ac:dyDescent="0.25">
      <c r="AB1037" s="428"/>
    </row>
    <row r="1038" spans="28:28" x14ac:dyDescent="0.25">
      <c r="AB1038" s="428"/>
    </row>
    <row r="1039" spans="28:28" x14ac:dyDescent="0.25">
      <c r="AB1039" s="428"/>
    </row>
    <row r="1040" spans="28:28" x14ac:dyDescent="0.25">
      <c r="AB1040" s="428"/>
    </row>
    <row r="1041" spans="28:28" x14ac:dyDescent="0.25">
      <c r="AB1041" s="428"/>
    </row>
    <row r="1042" spans="28:28" x14ac:dyDescent="0.25">
      <c r="AB1042" s="428"/>
    </row>
    <row r="1043" spans="28:28" x14ac:dyDescent="0.25">
      <c r="AB1043" s="428"/>
    </row>
    <row r="1044" spans="28:28" x14ac:dyDescent="0.25">
      <c r="AB1044" s="428"/>
    </row>
    <row r="1045" spans="28:28" x14ac:dyDescent="0.25">
      <c r="AB1045" s="428"/>
    </row>
    <row r="1046" spans="28:28" x14ac:dyDescent="0.25">
      <c r="AB1046" s="428"/>
    </row>
    <row r="1047" spans="28:28" x14ac:dyDescent="0.25">
      <c r="AB1047" s="428"/>
    </row>
    <row r="1048" spans="28:28" x14ac:dyDescent="0.25">
      <c r="AB1048" s="428"/>
    </row>
    <row r="1049" spans="28:28" x14ac:dyDescent="0.25">
      <c r="AB1049" s="428"/>
    </row>
    <row r="1050" spans="28:28" x14ac:dyDescent="0.25">
      <c r="AB1050" s="428"/>
    </row>
    <row r="1051" spans="28:28" x14ac:dyDescent="0.25">
      <c r="AB1051" s="428"/>
    </row>
    <row r="1052" spans="28:28" x14ac:dyDescent="0.25">
      <c r="AB1052" s="428"/>
    </row>
    <row r="1053" spans="28:28" x14ac:dyDescent="0.25">
      <c r="AB1053" s="428"/>
    </row>
    <row r="1054" spans="28:28" x14ac:dyDescent="0.25">
      <c r="AB1054" s="428"/>
    </row>
    <row r="1055" spans="28:28" x14ac:dyDescent="0.25">
      <c r="AB1055" s="428"/>
    </row>
    <row r="1056" spans="28:28" x14ac:dyDescent="0.25">
      <c r="AB1056" s="428"/>
    </row>
    <row r="1057" spans="28:28" x14ac:dyDescent="0.25">
      <c r="AB1057" s="428"/>
    </row>
    <row r="1058" spans="28:28" x14ac:dyDescent="0.25">
      <c r="AB1058" s="428"/>
    </row>
    <row r="1059" spans="28:28" x14ac:dyDescent="0.25">
      <c r="AB1059" s="428"/>
    </row>
    <row r="1060" spans="28:28" x14ac:dyDescent="0.25">
      <c r="AB1060" s="428"/>
    </row>
    <row r="1061" spans="28:28" x14ac:dyDescent="0.25">
      <c r="AB1061" s="428"/>
    </row>
    <row r="1062" spans="28:28" x14ac:dyDescent="0.25">
      <c r="AB1062" s="428"/>
    </row>
    <row r="1063" spans="28:28" x14ac:dyDescent="0.25">
      <c r="AB1063" s="428"/>
    </row>
    <row r="1064" spans="28:28" x14ac:dyDescent="0.25">
      <c r="AB1064" s="428"/>
    </row>
    <row r="1065" spans="28:28" x14ac:dyDescent="0.25">
      <c r="AB1065" s="428"/>
    </row>
    <row r="1066" spans="28:28" x14ac:dyDescent="0.25">
      <c r="AB1066" s="428"/>
    </row>
    <row r="1067" spans="28:28" x14ac:dyDescent="0.25">
      <c r="AB1067" s="428"/>
    </row>
    <row r="1068" spans="28:28" x14ac:dyDescent="0.25">
      <c r="AB1068" s="428"/>
    </row>
    <row r="1069" spans="28:28" x14ac:dyDescent="0.25">
      <c r="AB1069" s="428"/>
    </row>
    <row r="1070" spans="28:28" x14ac:dyDescent="0.25">
      <c r="AB1070" s="428"/>
    </row>
    <row r="1071" spans="28:28" x14ac:dyDescent="0.25">
      <c r="AB1071" s="428"/>
    </row>
    <row r="1072" spans="28:28" x14ac:dyDescent="0.25">
      <c r="AB1072" s="428"/>
    </row>
    <row r="1073" spans="28:28" x14ac:dyDescent="0.25">
      <c r="AB1073" s="428"/>
    </row>
    <row r="1074" spans="28:28" x14ac:dyDescent="0.25">
      <c r="AB1074" s="428"/>
    </row>
    <row r="1075" spans="28:28" x14ac:dyDescent="0.25">
      <c r="AB1075" s="428"/>
    </row>
    <row r="1076" spans="28:28" x14ac:dyDescent="0.25">
      <c r="AB1076" s="428"/>
    </row>
    <row r="1077" spans="28:28" x14ac:dyDescent="0.25">
      <c r="AB1077" s="428"/>
    </row>
    <row r="1078" spans="28:28" x14ac:dyDescent="0.25">
      <c r="AB1078" s="428"/>
    </row>
    <row r="1079" spans="28:28" x14ac:dyDescent="0.25">
      <c r="AB1079" s="428"/>
    </row>
    <row r="1080" spans="28:28" x14ac:dyDescent="0.25">
      <c r="AB1080" s="428"/>
    </row>
    <row r="1081" spans="28:28" x14ac:dyDescent="0.25">
      <c r="AB1081" s="428"/>
    </row>
    <row r="1082" spans="28:28" x14ac:dyDescent="0.25">
      <c r="AB1082" s="428"/>
    </row>
    <row r="1083" spans="28:28" x14ac:dyDescent="0.25">
      <c r="AB1083" s="428"/>
    </row>
    <row r="1084" spans="28:28" x14ac:dyDescent="0.25">
      <c r="AB1084" s="428"/>
    </row>
    <row r="1085" spans="28:28" x14ac:dyDescent="0.25">
      <c r="AB1085" s="428"/>
    </row>
    <row r="1086" spans="28:28" x14ac:dyDescent="0.25">
      <c r="AB1086" s="428"/>
    </row>
    <row r="1087" spans="28:28" x14ac:dyDescent="0.25">
      <c r="AB1087" s="428"/>
    </row>
    <row r="1088" spans="28:28" x14ac:dyDescent="0.25">
      <c r="AB1088" s="428"/>
    </row>
    <row r="1089" spans="28:28" x14ac:dyDescent="0.25">
      <c r="AB1089" s="428"/>
    </row>
    <row r="1090" spans="28:28" x14ac:dyDescent="0.25">
      <c r="AB1090" s="428"/>
    </row>
    <row r="1091" spans="28:28" x14ac:dyDescent="0.25">
      <c r="AB1091" s="428"/>
    </row>
    <row r="1092" spans="28:28" x14ac:dyDescent="0.25">
      <c r="AB1092" s="428"/>
    </row>
    <row r="1093" spans="28:28" x14ac:dyDescent="0.25">
      <c r="AB1093" s="428"/>
    </row>
    <row r="1094" spans="28:28" x14ac:dyDescent="0.25">
      <c r="AB1094" s="428"/>
    </row>
    <row r="1095" spans="28:28" x14ac:dyDescent="0.25">
      <c r="AB1095" s="428"/>
    </row>
    <row r="1096" spans="28:28" x14ac:dyDescent="0.25">
      <c r="AB1096" s="428"/>
    </row>
    <row r="1097" spans="28:28" x14ac:dyDescent="0.25">
      <c r="AB1097" s="428"/>
    </row>
    <row r="1098" spans="28:28" x14ac:dyDescent="0.25">
      <c r="AB1098" s="428"/>
    </row>
    <row r="1099" spans="28:28" x14ac:dyDescent="0.25">
      <c r="AB1099" s="428"/>
    </row>
    <row r="1100" spans="28:28" x14ac:dyDescent="0.25">
      <c r="AB1100" s="428"/>
    </row>
    <row r="1101" spans="28:28" x14ac:dyDescent="0.25">
      <c r="AB1101" s="428"/>
    </row>
    <row r="1102" spans="28:28" x14ac:dyDescent="0.25">
      <c r="AB1102" s="428"/>
    </row>
    <row r="1103" spans="28:28" x14ac:dyDescent="0.25">
      <c r="AB1103" s="428"/>
    </row>
    <row r="1104" spans="28:28" x14ac:dyDescent="0.25">
      <c r="AB1104" s="428"/>
    </row>
    <row r="1105" spans="28:28" x14ac:dyDescent="0.25">
      <c r="AB1105" s="428"/>
    </row>
    <row r="1106" spans="28:28" x14ac:dyDescent="0.25">
      <c r="AB1106" s="428"/>
    </row>
    <row r="1107" spans="28:28" x14ac:dyDescent="0.25">
      <c r="AB1107" s="428"/>
    </row>
    <row r="1108" spans="28:28" x14ac:dyDescent="0.25">
      <c r="AB1108" s="428"/>
    </row>
    <row r="1109" spans="28:28" x14ac:dyDescent="0.25">
      <c r="AB1109" s="428"/>
    </row>
    <row r="1110" spans="28:28" x14ac:dyDescent="0.25">
      <c r="AB1110" s="428"/>
    </row>
    <row r="1111" spans="28:28" x14ac:dyDescent="0.25">
      <c r="AB1111" s="428"/>
    </row>
    <row r="1112" spans="28:28" x14ac:dyDescent="0.25">
      <c r="AB1112" s="428"/>
    </row>
    <row r="1113" spans="28:28" x14ac:dyDescent="0.25">
      <c r="AB1113" s="428"/>
    </row>
    <row r="1114" spans="28:28" x14ac:dyDescent="0.25">
      <c r="AB1114" s="428"/>
    </row>
    <row r="1115" spans="28:28" x14ac:dyDescent="0.25">
      <c r="AB1115" s="428"/>
    </row>
    <row r="1116" spans="28:28" x14ac:dyDescent="0.25">
      <c r="AB1116" s="428"/>
    </row>
    <row r="1117" spans="28:28" x14ac:dyDescent="0.25">
      <c r="AB1117" s="428"/>
    </row>
    <row r="1118" spans="28:28" x14ac:dyDescent="0.25">
      <c r="AB1118" s="428"/>
    </row>
    <row r="1119" spans="28:28" x14ac:dyDescent="0.25">
      <c r="AB1119" s="428"/>
    </row>
    <row r="1120" spans="28:28" x14ac:dyDescent="0.25">
      <c r="AB1120" s="428"/>
    </row>
    <row r="1121" spans="28:28" x14ac:dyDescent="0.25">
      <c r="AB1121" s="428"/>
    </row>
    <row r="1122" spans="28:28" x14ac:dyDescent="0.25">
      <c r="AB1122" s="428"/>
    </row>
    <row r="1123" spans="28:28" x14ac:dyDescent="0.25">
      <c r="AB1123" s="428"/>
    </row>
    <row r="1124" spans="28:28" x14ac:dyDescent="0.25">
      <c r="AB1124" s="428"/>
    </row>
    <row r="1125" spans="28:28" x14ac:dyDescent="0.25">
      <c r="AB1125" s="428"/>
    </row>
    <row r="1126" spans="28:28" x14ac:dyDescent="0.25">
      <c r="AB1126" s="428"/>
    </row>
    <row r="1127" spans="28:28" x14ac:dyDescent="0.25">
      <c r="AB1127" s="428"/>
    </row>
    <row r="1128" spans="28:28" x14ac:dyDescent="0.25">
      <c r="AB1128" s="428"/>
    </row>
    <row r="1129" spans="28:28" x14ac:dyDescent="0.25">
      <c r="AB1129" s="428"/>
    </row>
    <row r="1130" spans="28:28" x14ac:dyDescent="0.25">
      <c r="AB1130" s="428"/>
    </row>
    <row r="1131" spans="28:28" x14ac:dyDescent="0.25">
      <c r="AB1131" s="428"/>
    </row>
    <row r="1132" spans="28:28" x14ac:dyDescent="0.25">
      <c r="AB1132" s="428"/>
    </row>
    <row r="1133" spans="28:28" x14ac:dyDescent="0.25">
      <c r="AB1133" s="428"/>
    </row>
    <row r="1134" spans="28:28" x14ac:dyDescent="0.25">
      <c r="AB1134" s="428"/>
    </row>
    <row r="1135" spans="28:28" x14ac:dyDescent="0.25">
      <c r="AB1135" s="428"/>
    </row>
    <row r="1136" spans="28:28" x14ac:dyDescent="0.25">
      <c r="AB1136" s="428"/>
    </row>
    <row r="1137" spans="28:28" x14ac:dyDescent="0.25">
      <c r="AB1137" s="428"/>
    </row>
    <row r="1138" spans="28:28" x14ac:dyDescent="0.25">
      <c r="AB1138" s="428"/>
    </row>
    <row r="1139" spans="28:28" x14ac:dyDescent="0.25">
      <c r="AB1139" s="428"/>
    </row>
    <row r="1140" spans="28:28" x14ac:dyDescent="0.25">
      <c r="AB1140" s="428"/>
    </row>
    <row r="1141" spans="28:28" x14ac:dyDescent="0.25">
      <c r="AB1141" s="428"/>
    </row>
    <row r="1142" spans="28:28" x14ac:dyDescent="0.25">
      <c r="AB1142" s="428"/>
    </row>
    <row r="1143" spans="28:28" x14ac:dyDescent="0.25">
      <c r="AB1143" s="428"/>
    </row>
    <row r="1144" spans="28:28" x14ac:dyDescent="0.25">
      <c r="AB1144" s="428"/>
    </row>
    <row r="1145" spans="28:28" x14ac:dyDescent="0.25">
      <c r="AB1145" s="428"/>
    </row>
    <row r="1146" spans="28:28" x14ac:dyDescent="0.25">
      <c r="AB1146" s="428"/>
    </row>
    <row r="1147" spans="28:28" x14ac:dyDescent="0.25">
      <c r="AB1147" s="428"/>
    </row>
    <row r="1148" spans="28:28" x14ac:dyDescent="0.25">
      <c r="AB1148" s="428"/>
    </row>
    <row r="1149" spans="28:28" x14ac:dyDescent="0.25">
      <c r="AB1149" s="428"/>
    </row>
    <row r="1150" spans="28:28" x14ac:dyDescent="0.25">
      <c r="AB1150" s="428"/>
    </row>
    <row r="1151" spans="28:28" x14ac:dyDescent="0.25">
      <c r="AB1151" s="428"/>
    </row>
    <row r="1152" spans="28:28" x14ac:dyDescent="0.25">
      <c r="AB1152" s="428"/>
    </row>
    <row r="1153" spans="28:28" x14ac:dyDescent="0.25">
      <c r="AB1153" s="428"/>
    </row>
    <row r="1154" spans="28:28" x14ac:dyDescent="0.25">
      <c r="AB1154" s="428"/>
    </row>
    <row r="1155" spans="28:28" x14ac:dyDescent="0.25">
      <c r="AB1155" s="428"/>
    </row>
    <row r="1156" spans="28:28" x14ac:dyDescent="0.25">
      <c r="AB1156" s="428"/>
    </row>
    <row r="1157" spans="28:28" x14ac:dyDescent="0.25">
      <c r="AB1157" s="428"/>
    </row>
    <row r="1158" spans="28:28" x14ac:dyDescent="0.25">
      <c r="AB1158" s="428"/>
    </row>
    <row r="1159" spans="28:28" x14ac:dyDescent="0.25">
      <c r="AB1159" s="428"/>
    </row>
    <row r="1160" spans="28:28" x14ac:dyDescent="0.25">
      <c r="AB1160" s="428"/>
    </row>
    <row r="1161" spans="28:28" x14ac:dyDescent="0.25">
      <c r="AB1161" s="428"/>
    </row>
    <row r="1162" spans="28:28" x14ac:dyDescent="0.25">
      <c r="AB1162" s="428"/>
    </row>
    <row r="1163" spans="28:28" x14ac:dyDescent="0.25">
      <c r="AB1163" s="428"/>
    </row>
    <row r="1164" spans="28:28" x14ac:dyDescent="0.25">
      <c r="AB1164" s="428"/>
    </row>
    <row r="1165" spans="28:28" x14ac:dyDescent="0.25">
      <c r="AB1165" s="428"/>
    </row>
    <row r="1166" spans="28:28" x14ac:dyDescent="0.25">
      <c r="AB1166" s="428"/>
    </row>
    <row r="1167" spans="28:28" x14ac:dyDescent="0.25">
      <c r="AB1167" s="428"/>
    </row>
    <row r="1168" spans="28:28" x14ac:dyDescent="0.25">
      <c r="AB1168" s="428"/>
    </row>
    <row r="1169" spans="28:28" x14ac:dyDescent="0.25">
      <c r="AB1169" s="428"/>
    </row>
    <row r="1170" spans="28:28" x14ac:dyDescent="0.25">
      <c r="AB1170" s="428"/>
    </row>
    <row r="1171" spans="28:28" x14ac:dyDescent="0.25">
      <c r="AB1171" s="428"/>
    </row>
    <row r="1172" spans="28:28" x14ac:dyDescent="0.25">
      <c r="AB1172" s="428"/>
    </row>
    <row r="1173" spans="28:28" x14ac:dyDescent="0.25">
      <c r="AB1173" s="428"/>
    </row>
    <row r="1174" spans="28:28" x14ac:dyDescent="0.25">
      <c r="AB1174" s="428"/>
    </row>
    <row r="1175" spans="28:28" x14ac:dyDescent="0.25">
      <c r="AB1175" s="428"/>
    </row>
    <row r="1176" spans="28:28" x14ac:dyDescent="0.25">
      <c r="AB1176" s="428"/>
    </row>
    <row r="1177" spans="28:28" x14ac:dyDescent="0.25">
      <c r="AB1177" s="428"/>
    </row>
    <row r="1178" spans="28:28" x14ac:dyDescent="0.25">
      <c r="AB1178" s="428"/>
    </row>
    <row r="1179" spans="28:28" x14ac:dyDescent="0.25">
      <c r="AB1179" s="428"/>
    </row>
    <row r="1180" spans="28:28" x14ac:dyDescent="0.25">
      <c r="AB1180" s="428"/>
    </row>
    <row r="1181" spans="28:28" x14ac:dyDescent="0.25">
      <c r="AB1181" s="428"/>
    </row>
    <row r="1182" spans="28:28" x14ac:dyDescent="0.25">
      <c r="AB1182" s="428"/>
    </row>
    <row r="1183" spans="28:28" x14ac:dyDescent="0.25">
      <c r="AB1183" s="428"/>
    </row>
    <row r="1184" spans="28:28" x14ac:dyDescent="0.25">
      <c r="AB1184" s="428"/>
    </row>
    <row r="1185" spans="28:28" x14ac:dyDescent="0.25">
      <c r="AB1185" s="428"/>
    </row>
    <row r="1186" spans="28:28" x14ac:dyDescent="0.25">
      <c r="AB1186" s="428"/>
    </row>
    <row r="1187" spans="28:28" x14ac:dyDescent="0.25">
      <c r="AB1187" s="428"/>
    </row>
    <row r="1188" spans="28:28" x14ac:dyDescent="0.25">
      <c r="AB1188" s="428"/>
    </row>
    <row r="1189" spans="28:28" x14ac:dyDescent="0.25">
      <c r="AB1189" s="428"/>
    </row>
    <row r="1190" spans="28:28" x14ac:dyDescent="0.25">
      <c r="AB1190" s="428"/>
    </row>
    <row r="1191" spans="28:28" x14ac:dyDescent="0.25">
      <c r="AB1191" s="428"/>
    </row>
    <row r="1192" spans="28:28" x14ac:dyDescent="0.25">
      <c r="AB1192" s="428"/>
    </row>
    <row r="1193" spans="28:28" x14ac:dyDescent="0.25">
      <c r="AB1193" s="428"/>
    </row>
    <row r="1194" spans="28:28" x14ac:dyDescent="0.25">
      <c r="AB1194" s="428"/>
    </row>
    <row r="1195" spans="28:28" x14ac:dyDescent="0.25">
      <c r="AB1195" s="428"/>
    </row>
    <row r="1196" spans="28:28" x14ac:dyDescent="0.25">
      <c r="AB1196" s="428"/>
    </row>
    <row r="1197" spans="28:28" x14ac:dyDescent="0.25">
      <c r="AB1197" s="428"/>
    </row>
    <row r="1198" spans="28:28" x14ac:dyDescent="0.25">
      <c r="AB1198" s="428"/>
    </row>
    <row r="1199" spans="28:28" x14ac:dyDescent="0.25">
      <c r="AB1199" s="428"/>
    </row>
    <row r="1200" spans="28:28" x14ac:dyDescent="0.25">
      <c r="AB1200" s="428"/>
    </row>
    <row r="1201" spans="28:28" x14ac:dyDescent="0.25">
      <c r="AB1201" s="428"/>
    </row>
    <row r="1202" spans="28:28" x14ac:dyDescent="0.25">
      <c r="AB1202" s="428"/>
    </row>
    <row r="1203" spans="28:28" x14ac:dyDescent="0.25">
      <c r="AB1203" s="428"/>
    </row>
    <row r="1204" spans="28:28" x14ac:dyDescent="0.25">
      <c r="AB1204" s="428"/>
    </row>
    <row r="1205" spans="28:28" x14ac:dyDescent="0.25">
      <c r="AB1205" s="428"/>
    </row>
    <row r="1206" spans="28:28" x14ac:dyDescent="0.25">
      <c r="AB1206" s="428"/>
    </row>
    <row r="1207" spans="28:28" x14ac:dyDescent="0.25">
      <c r="AB1207" s="428"/>
    </row>
    <row r="1208" spans="28:28" x14ac:dyDescent="0.25">
      <c r="AB1208" s="428"/>
    </row>
    <row r="1209" spans="28:28" x14ac:dyDescent="0.25">
      <c r="AB1209" s="428"/>
    </row>
    <row r="1210" spans="28:28" x14ac:dyDescent="0.25">
      <c r="AB1210" s="428"/>
    </row>
    <row r="1211" spans="28:28" x14ac:dyDescent="0.25">
      <c r="AB1211" s="428"/>
    </row>
    <row r="1212" spans="28:28" x14ac:dyDescent="0.25">
      <c r="AB1212" s="428"/>
    </row>
    <row r="1213" spans="28:28" x14ac:dyDescent="0.25">
      <c r="AB1213" s="428"/>
    </row>
    <row r="1214" spans="28:28" x14ac:dyDescent="0.25">
      <c r="AB1214" s="428"/>
    </row>
    <row r="1215" spans="28:28" x14ac:dyDescent="0.25">
      <c r="AB1215" s="428"/>
    </row>
    <row r="1216" spans="28:28" x14ac:dyDescent="0.25">
      <c r="AB1216" s="428"/>
    </row>
    <row r="1217" spans="28:28" x14ac:dyDescent="0.25">
      <c r="AB1217" s="428"/>
    </row>
    <row r="1218" spans="28:28" x14ac:dyDescent="0.25">
      <c r="AB1218" s="428"/>
    </row>
    <row r="1219" spans="28:28" x14ac:dyDescent="0.25">
      <c r="AB1219" s="428"/>
    </row>
    <row r="1220" spans="28:28" x14ac:dyDescent="0.25">
      <c r="AB1220" s="428"/>
    </row>
    <row r="1221" spans="28:28" x14ac:dyDescent="0.25">
      <c r="AB1221" s="428"/>
    </row>
    <row r="1222" spans="28:28" x14ac:dyDescent="0.25">
      <c r="AB1222" s="428"/>
    </row>
    <row r="1223" spans="28:28" x14ac:dyDescent="0.25">
      <c r="AB1223" s="428"/>
    </row>
    <row r="1224" spans="28:28" x14ac:dyDescent="0.25">
      <c r="AB1224" s="428"/>
    </row>
    <row r="1225" spans="28:28" x14ac:dyDescent="0.25">
      <c r="AB1225" s="428"/>
    </row>
    <row r="1226" spans="28:28" x14ac:dyDescent="0.25">
      <c r="AB1226" s="428"/>
    </row>
    <row r="1227" spans="28:28" x14ac:dyDescent="0.25">
      <c r="AB1227" s="428"/>
    </row>
    <row r="1228" spans="28:28" x14ac:dyDescent="0.25">
      <c r="AB1228" s="428"/>
    </row>
    <row r="1229" spans="28:28" x14ac:dyDescent="0.25">
      <c r="AB1229" s="428"/>
    </row>
    <row r="1230" spans="28:28" x14ac:dyDescent="0.25">
      <c r="AB1230" s="428"/>
    </row>
    <row r="1231" spans="28:28" x14ac:dyDescent="0.25">
      <c r="AB1231" s="428"/>
    </row>
    <row r="1232" spans="28:28" x14ac:dyDescent="0.25">
      <c r="AB1232" s="428"/>
    </row>
    <row r="1233" spans="28:28" x14ac:dyDescent="0.25">
      <c r="AB1233" s="428"/>
    </row>
    <row r="1234" spans="28:28" x14ac:dyDescent="0.25">
      <c r="AB1234" s="428"/>
    </row>
    <row r="1235" spans="28:28" x14ac:dyDescent="0.25">
      <c r="AB1235" s="428"/>
    </row>
    <row r="1236" spans="28:28" x14ac:dyDescent="0.25">
      <c r="AB1236" s="428"/>
    </row>
    <row r="1237" spans="28:28" x14ac:dyDescent="0.25">
      <c r="AB1237" s="428"/>
    </row>
    <row r="1238" spans="28:28" x14ac:dyDescent="0.25">
      <c r="AB1238" s="428"/>
    </row>
    <row r="1239" spans="28:28" x14ac:dyDescent="0.25">
      <c r="AB1239" s="428"/>
    </row>
    <row r="1240" spans="28:28" x14ac:dyDescent="0.25">
      <c r="AB1240" s="428"/>
    </row>
    <row r="1241" spans="28:28" x14ac:dyDescent="0.25">
      <c r="AB1241" s="428"/>
    </row>
    <row r="1242" spans="28:28" x14ac:dyDescent="0.25">
      <c r="AB1242" s="428"/>
    </row>
    <row r="1243" spans="28:28" x14ac:dyDescent="0.25">
      <c r="AB1243" s="428"/>
    </row>
    <row r="1244" spans="28:28" x14ac:dyDescent="0.25">
      <c r="AB1244" s="428"/>
    </row>
    <row r="1245" spans="28:28" x14ac:dyDescent="0.25">
      <c r="AB1245" s="428"/>
    </row>
    <row r="1246" spans="28:28" x14ac:dyDescent="0.25">
      <c r="AB1246" s="428"/>
    </row>
    <row r="1247" spans="28:28" x14ac:dyDescent="0.25">
      <c r="AB1247" s="428"/>
    </row>
    <row r="1248" spans="28:28" x14ac:dyDescent="0.25">
      <c r="AB1248" s="428"/>
    </row>
    <row r="1249" spans="28:28" x14ac:dyDescent="0.25">
      <c r="AB1249" s="428"/>
    </row>
    <row r="1250" spans="28:28" x14ac:dyDescent="0.25">
      <c r="AB1250" s="428"/>
    </row>
    <row r="1251" spans="28:28" x14ac:dyDescent="0.25">
      <c r="AB1251" s="428"/>
    </row>
    <row r="1252" spans="28:28" x14ac:dyDescent="0.25">
      <c r="AB1252" s="428"/>
    </row>
    <row r="1253" spans="28:28" x14ac:dyDescent="0.25">
      <c r="AB1253" s="428"/>
    </row>
    <row r="1254" spans="28:28" x14ac:dyDescent="0.25">
      <c r="AB1254" s="428"/>
    </row>
    <row r="1255" spans="28:28" x14ac:dyDescent="0.25">
      <c r="AB1255" s="428"/>
    </row>
    <row r="1256" spans="28:28" x14ac:dyDescent="0.25">
      <c r="AB1256" s="428"/>
    </row>
    <row r="1257" spans="28:28" x14ac:dyDescent="0.25">
      <c r="AB1257" s="428"/>
    </row>
    <row r="1258" spans="28:28" x14ac:dyDescent="0.25">
      <c r="AB1258" s="428"/>
    </row>
    <row r="1259" spans="28:28" x14ac:dyDescent="0.25">
      <c r="AB1259" s="428"/>
    </row>
    <row r="1260" spans="28:28" x14ac:dyDescent="0.25">
      <c r="AB1260" s="428"/>
    </row>
    <row r="1261" spans="28:28" x14ac:dyDescent="0.25">
      <c r="AB1261" s="428"/>
    </row>
    <row r="1262" spans="28:28" x14ac:dyDescent="0.25">
      <c r="AB1262" s="428"/>
    </row>
    <row r="1263" spans="28:28" x14ac:dyDescent="0.25">
      <c r="AB1263" s="428"/>
    </row>
    <row r="1264" spans="28:28" x14ac:dyDescent="0.25">
      <c r="AB1264" s="428"/>
    </row>
    <row r="1265" spans="28:28" x14ac:dyDescent="0.25">
      <c r="AB1265" s="428"/>
    </row>
    <row r="1266" spans="28:28" x14ac:dyDescent="0.25">
      <c r="AB1266" s="428"/>
    </row>
    <row r="1267" spans="28:28" x14ac:dyDescent="0.25">
      <c r="AB1267" s="428"/>
    </row>
    <row r="1268" spans="28:28" x14ac:dyDescent="0.25">
      <c r="AB1268" s="428"/>
    </row>
    <row r="1269" spans="28:28" x14ac:dyDescent="0.25">
      <c r="AB1269" s="428"/>
    </row>
    <row r="1270" spans="28:28" x14ac:dyDescent="0.25">
      <c r="AB1270" s="428"/>
    </row>
    <row r="1271" spans="28:28" x14ac:dyDescent="0.25">
      <c r="AB1271" s="428"/>
    </row>
    <row r="1272" spans="28:28" x14ac:dyDescent="0.25">
      <c r="AB1272" s="428"/>
    </row>
    <row r="1273" spans="28:28" x14ac:dyDescent="0.25">
      <c r="AB1273" s="428"/>
    </row>
    <row r="1274" spans="28:28" x14ac:dyDescent="0.25">
      <c r="AB1274" s="428"/>
    </row>
    <row r="1275" spans="28:28" x14ac:dyDescent="0.25">
      <c r="AB1275" s="428"/>
    </row>
    <row r="1276" spans="28:28" x14ac:dyDescent="0.25">
      <c r="AB1276" s="428"/>
    </row>
    <row r="1277" spans="28:28" x14ac:dyDescent="0.25">
      <c r="AB1277" s="428"/>
    </row>
    <row r="1278" spans="28:28" x14ac:dyDescent="0.25">
      <c r="AB1278" s="428"/>
    </row>
    <row r="1279" spans="28:28" x14ac:dyDescent="0.25">
      <c r="AB1279" s="428"/>
    </row>
    <row r="1280" spans="28:28" x14ac:dyDescent="0.25">
      <c r="AB1280" s="428"/>
    </row>
    <row r="1281" spans="28:28" x14ac:dyDescent="0.25">
      <c r="AB1281" s="428"/>
    </row>
    <row r="1282" spans="28:28" x14ac:dyDescent="0.25">
      <c r="AB1282" s="428"/>
    </row>
    <row r="1283" spans="28:28" x14ac:dyDescent="0.25">
      <c r="AB1283" s="428"/>
    </row>
    <row r="1284" spans="28:28" x14ac:dyDescent="0.25">
      <c r="AB1284" s="428"/>
    </row>
    <row r="1285" spans="28:28" x14ac:dyDescent="0.25">
      <c r="AB1285" s="428"/>
    </row>
    <row r="1286" spans="28:28" x14ac:dyDescent="0.25">
      <c r="AB1286" s="428"/>
    </row>
    <row r="1287" spans="28:28" x14ac:dyDescent="0.25">
      <c r="AB1287" s="428"/>
    </row>
    <row r="1288" spans="28:28" x14ac:dyDescent="0.25">
      <c r="AB1288" s="428"/>
    </row>
    <row r="1289" spans="28:28" x14ac:dyDescent="0.25">
      <c r="AB1289" s="428"/>
    </row>
    <row r="1290" spans="28:28" x14ac:dyDescent="0.25">
      <c r="AB1290" s="428"/>
    </row>
    <row r="1291" spans="28:28" x14ac:dyDescent="0.25">
      <c r="AB1291" s="428"/>
    </row>
    <row r="1292" spans="28:28" x14ac:dyDescent="0.25">
      <c r="AB1292" s="428"/>
    </row>
    <row r="1293" spans="28:28" x14ac:dyDescent="0.25">
      <c r="AB1293" s="428"/>
    </row>
    <row r="1294" spans="28:28" x14ac:dyDescent="0.25">
      <c r="AB1294" s="428"/>
    </row>
    <row r="1295" spans="28:28" x14ac:dyDescent="0.25">
      <c r="AB1295" s="428"/>
    </row>
    <row r="1296" spans="28:28" x14ac:dyDescent="0.25">
      <c r="AB1296" s="428"/>
    </row>
    <row r="1297" spans="28:28" x14ac:dyDescent="0.25">
      <c r="AB1297" s="428"/>
    </row>
    <row r="1298" spans="28:28" x14ac:dyDescent="0.25">
      <c r="AB1298" s="428"/>
    </row>
    <row r="1299" spans="28:28" x14ac:dyDescent="0.25">
      <c r="AB1299" s="428"/>
    </row>
    <row r="1300" spans="28:28" x14ac:dyDescent="0.25">
      <c r="AB1300" s="428"/>
    </row>
    <row r="1301" spans="28:28" x14ac:dyDescent="0.25">
      <c r="AB1301" s="428"/>
    </row>
    <row r="1302" spans="28:28" x14ac:dyDescent="0.25">
      <c r="AB1302" s="428"/>
    </row>
    <row r="1303" spans="28:28" x14ac:dyDescent="0.25">
      <c r="AB1303" s="428"/>
    </row>
    <row r="1304" spans="28:28" x14ac:dyDescent="0.25">
      <c r="AB1304" s="428"/>
    </row>
    <row r="1305" spans="28:28" x14ac:dyDescent="0.25">
      <c r="AB1305" s="428"/>
    </row>
    <row r="1306" spans="28:28" x14ac:dyDescent="0.25">
      <c r="AB1306" s="428"/>
    </row>
    <row r="1307" spans="28:28" x14ac:dyDescent="0.25">
      <c r="AB1307" s="428"/>
    </row>
    <row r="1308" spans="28:28" x14ac:dyDescent="0.25">
      <c r="AB1308" s="428"/>
    </row>
    <row r="1309" spans="28:28" x14ac:dyDescent="0.25">
      <c r="AB1309" s="428"/>
    </row>
    <row r="1310" spans="28:28" x14ac:dyDescent="0.25">
      <c r="AB1310" s="428"/>
    </row>
    <row r="1311" spans="28:28" x14ac:dyDescent="0.25">
      <c r="AB1311" s="428"/>
    </row>
    <row r="1312" spans="28:28" x14ac:dyDescent="0.25">
      <c r="AB1312" s="428"/>
    </row>
    <row r="1313" spans="28:28" x14ac:dyDescent="0.25">
      <c r="AB1313" s="428"/>
    </row>
    <row r="1314" spans="28:28" x14ac:dyDescent="0.25">
      <c r="AB1314" s="428"/>
    </row>
    <row r="1315" spans="28:28" x14ac:dyDescent="0.25">
      <c r="AB1315" s="428"/>
    </row>
    <row r="1316" spans="28:28" x14ac:dyDescent="0.25">
      <c r="AB1316" s="428"/>
    </row>
    <row r="1317" spans="28:28" x14ac:dyDescent="0.25">
      <c r="AB1317" s="428"/>
    </row>
    <row r="1318" spans="28:28" x14ac:dyDescent="0.25">
      <c r="AB1318" s="428"/>
    </row>
    <row r="1319" spans="28:28" x14ac:dyDescent="0.25">
      <c r="AB1319" s="428"/>
    </row>
    <row r="1320" spans="28:28" x14ac:dyDescent="0.25">
      <c r="AB1320" s="428"/>
    </row>
    <row r="1321" spans="28:28" x14ac:dyDescent="0.25">
      <c r="AB1321" s="428"/>
    </row>
    <row r="1322" spans="28:28" x14ac:dyDescent="0.25">
      <c r="AB1322" s="428"/>
    </row>
    <row r="1323" spans="28:28" x14ac:dyDescent="0.25">
      <c r="AB1323" s="428"/>
    </row>
    <row r="1324" spans="28:28" x14ac:dyDescent="0.25">
      <c r="AB1324" s="428"/>
    </row>
    <row r="1325" spans="28:28" x14ac:dyDescent="0.25">
      <c r="AB1325" s="428"/>
    </row>
    <row r="1326" spans="28:28" x14ac:dyDescent="0.25">
      <c r="AB1326" s="428"/>
    </row>
    <row r="1327" spans="28:28" x14ac:dyDescent="0.25">
      <c r="AB1327" s="428"/>
    </row>
    <row r="1328" spans="28:28" x14ac:dyDescent="0.25">
      <c r="AB1328" s="428"/>
    </row>
    <row r="1329" spans="28:28" x14ac:dyDescent="0.25">
      <c r="AB1329" s="428"/>
    </row>
    <row r="1330" spans="28:28" x14ac:dyDescent="0.25">
      <c r="AB1330" s="428"/>
    </row>
    <row r="1331" spans="28:28" x14ac:dyDescent="0.25">
      <c r="AB1331" s="428"/>
    </row>
    <row r="1332" spans="28:28" x14ac:dyDescent="0.25">
      <c r="AB1332" s="428"/>
    </row>
    <row r="1333" spans="28:28" x14ac:dyDescent="0.25">
      <c r="AB1333" s="428"/>
    </row>
    <row r="1334" spans="28:28" x14ac:dyDescent="0.25">
      <c r="AB1334" s="428"/>
    </row>
    <row r="1335" spans="28:28" x14ac:dyDescent="0.25">
      <c r="AB1335" s="428"/>
    </row>
    <row r="1336" spans="28:28" x14ac:dyDescent="0.25">
      <c r="AB1336" s="428"/>
    </row>
    <row r="1337" spans="28:28" x14ac:dyDescent="0.25">
      <c r="AB1337" s="428"/>
    </row>
    <row r="1338" spans="28:28" x14ac:dyDescent="0.25">
      <c r="AB1338" s="428"/>
    </row>
    <row r="1339" spans="28:28" x14ac:dyDescent="0.25">
      <c r="AB1339" s="428"/>
    </row>
    <row r="1340" spans="28:28" x14ac:dyDescent="0.25">
      <c r="AB1340" s="428"/>
    </row>
    <row r="1341" spans="28:28" x14ac:dyDescent="0.25">
      <c r="AB1341" s="428"/>
    </row>
    <row r="1342" spans="28:28" x14ac:dyDescent="0.25">
      <c r="AB1342" s="428"/>
    </row>
    <row r="1343" spans="28:28" x14ac:dyDescent="0.25">
      <c r="AB1343" s="428"/>
    </row>
    <row r="1344" spans="28:28" x14ac:dyDescent="0.25">
      <c r="AB1344" s="428"/>
    </row>
    <row r="1345" spans="28:28" x14ac:dyDescent="0.25">
      <c r="AB1345" s="428"/>
    </row>
    <row r="1346" spans="28:28" x14ac:dyDescent="0.25">
      <c r="AB1346" s="428"/>
    </row>
    <row r="1347" spans="28:28" x14ac:dyDescent="0.25">
      <c r="AB1347" s="428"/>
    </row>
    <row r="1348" spans="28:28" x14ac:dyDescent="0.25">
      <c r="AB1348" s="428"/>
    </row>
    <row r="1349" spans="28:28" x14ac:dyDescent="0.25">
      <c r="AB1349" s="428"/>
    </row>
    <row r="1350" spans="28:28" x14ac:dyDescent="0.25">
      <c r="AB1350" s="428"/>
    </row>
    <row r="1351" spans="28:28" x14ac:dyDescent="0.25">
      <c r="AB1351" s="428"/>
    </row>
    <row r="1352" spans="28:28" x14ac:dyDescent="0.25">
      <c r="AB1352" s="428"/>
    </row>
    <row r="1353" spans="28:28" x14ac:dyDescent="0.25">
      <c r="AB1353" s="428"/>
    </row>
    <row r="1354" spans="28:28" x14ac:dyDescent="0.25">
      <c r="AB1354" s="428"/>
    </row>
    <row r="1355" spans="28:28" x14ac:dyDescent="0.25">
      <c r="AB1355" s="428"/>
    </row>
    <row r="1356" spans="28:28" x14ac:dyDescent="0.25">
      <c r="AB1356" s="428"/>
    </row>
    <row r="1357" spans="28:28" x14ac:dyDescent="0.25">
      <c r="AB1357" s="428"/>
    </row>
    <row r="1358" spans="28:28" x14ac:dyDescent="0.25">
      <c r="AB1358" s="428"/>
    </row>
    <row r="1359" spans="28:28" x14ac:dyDescent="0.25">
      <c r="AB1359" s="428"/>
    </row>
    <row r="1360" spans="28:28" x14ac:dyDescent="0.25">
      <c r="AB1360" s="428"/>
    </row>
    <row r="1361" spans="28:28" x14ac:dyDescent="0.25">
      <c r="AB1361" s="428"/>
    </row>
    <row r="1362" spans="28:28" x14ac:dyDescent="0.25">
      <c r="AB1362" s="428"/>
    </row>
    <row r="1363" spans="28:28" x14ac:dyDescent="0.25">
      <c r="AB1363" s="428"/>
    </row>
    <row r="1364" spans="28:28" x14ac:dyDescent="0.25">
      <c r="AB1364" s="428"/>
    </row>
    <row r="1365" spans="28:28" x14ac:dyDescent="0.25">
      <c r="AB1365" s="428"/>
    </row>
    <row r="1366" spans="28:28" x14ac:dyDescent="0.25">
      <c r="AB1366" s="428"/>
    </row>
    <row r="1367" spans="28:28" x14ac:dyDescent="0.25">
      <c r="AB1367" s="428"/>
    </row>
    <row r="1368" spans="28:28" x14ac:dyDescent="0.25">
      <c r="AB1368" s="428"/>
    </row>
    <row r="1369" spans="28:28" x14ac:dyDescent="0.25">
      <c r="AB1369" s="428"/>
    </row>
    <row r="1370" spans="28:28" x14ac:dyDescent="0.25">
      <c r="AB1370" s="428"/>
    </row>
    <row r="1371" spans="28:28" x14ac:dyDescent="0.25">
      <c r="AB1371" s="428"/>
    </row>
    <row r="1372" spans="28:28" x14ac:dyDescent="0.25">
      <c r="AB1372" s="428"/>
    </row>
    <row r="1373" spans="28:28" x14ac:dyDescent="0.25">
      <c r="AB1373" s="428"/>
    </row>
    <row r="1374" spans="28:28" x14ac:dyDescent="0.25">
      <c r="AB1374" s="428"/>
    </row>
    <row r="1375" spans="28:28" x14ac:dyDescent="0.25">
      <c r="AB1375" s="428"/>
    </row>
    <row r="1376" spans="28:28" x14ac:dyDescent="0.25">
      <c r="AB1376" s="428"/>
    </row>
    <row r="1377" spans="28:28" x14ac:dyDescent="0.25">
      <c r="AB1377" s="428"/>
    </row>
    <row r="1378" spans="28:28" x14ac:dyDescent="0.25">
      <c r="AB1378" s="428"/>
    </row>
    <row r="1379" spans="28:28" x14ac:dyDescent="0.25">
      <c r="AB1379" s="428"/>
    </row>
    <row r="1380" spans="28:28" x14ac:dyDescent="0.25">
      <c r="AB1380" s="428"/>
    </row>
    <row r="1381" spans="28:28" x14ac:dyDescent="0.25">
      <c r="AB1381" s="428"/>
    </row>
    <row r="1382" spans="28:28" x14ac:dyDescent="0.25">
      <c r="AB1382" s="428"/>
    </row>
    <row r="1383" spans="28:28" x14ac:dyDescent="0.25">
      <c r="AB1383" s="428"/>
    </row>
    <row r="1384" spans="28:28" x14ac:dyDescent="0.25">
      <c r="AB1384" s="428"/>
    </row>
    <row r="1385" spans="28:28" x14ac:dyDescent="0.25">
      <c r="AB1385" s="428"/>
    </row>
    <row r="1386" spans="28:28" x14ac:dyDescent="0.25">
      <c r="AB1386" s="428"/>
    </row>
    <row r="1387" spans="28:28" x14ac:dyDescent="0.25">
      <c r="AB1387" s="428"/>
    </row>
    <row r="1388" spans="28:28" x14ac:dyDescent="0.25">
      <c r="AB1388" s="428"/>
    </row>
    <row r="1389" spans="28:28" x14ac:dyDescent="0.25">
      <c r="AB1389" s="428"/>
    </row>
    <row r="1390" spans="28:28" x14ac:dyDescent="0.25">
      <c r="AB1390" s="428"/>
    </row>
    <row r="1391" spans="28:28" x14ac:dyDescent="0.25">
      <c r="AB1391" s="428"/>
    </row>
    <row r="1392" spans="28:28" x14ac:dyDescent="0.25">
      <c r="AB1392" s="428"/>
    </row>
    <row r="1393" spans="28:28" x14ac:dyDescent="0.25">
      <c r="AB1393" s="428"/>
    </row>
    <row r="1394" spans="28:28" x14ac:dyDescent="0.25">
      <c r="AB1394" s="428"/>
    </row>
    <row r="1395" spans="28:28" x14ac:dyDescent="0.25">
      <c r="AB1395" s="428"/>
    </row>
    <row r="1396" spans="28:28" x14ac:dyDescent="0.25">
      <c r="AB1396" s="428"/>
    </row>
    <row r="1397" spans="28:28" x14ac:dyDescent="0.25">
      <c r="AB1397" s="428"/>
    </row>
    <row r="1398" spans="28:28" x14ac:dyDescent="0.25">
      <c r="AB1398" s="428"/>
    </row>
    <row r="1399" spans="28:28" x14ac:dyDescent="0.25">
      <c r="AB1399" s="428"/>
    </row>
    <row r="1400" spans="28:28" x14ac:dyDescent="0.25">
      <c r="AB1400" s="428"/>
    </row>
    <row r="1401" spans="28:28" x14ac:dyDescent="0.25">
      <c r="AB1401" s="428"/>
    </row>
    <row r="1402" spans="28:28" x14ac:dyDescent="0.25">
      <c r="AB1402" s="428"/>
    </row>
    <row r="1403" spans="28:28" x14ac:dyDescent="0.25">
      <c r="AB1403" s="428"/>
    </row>
    <row r="1404" spans="28:28" x14ac:dyDescent="0.25">
      <c r="AB1404" s="428"/>
    </row>
    <row r="1405" spans="28:28" x14ac:dyDescent="0.25">
      <c r="AB1405" s="428"/>
    </row>
    <row r="1406" spans="28:28" x14ac:dyDescent="0.25">
      <c r="AB1406" s="428"/>
    </row>
    <row r="1407" spans="28:28" x14ac:dyDescent="0.25">
      <c r="AB1407" s="428"/>
    </row>
    <row r="1408" spans="28:28" x14ac:dyDescent="0.25">
      <c r="AB1408" s="428"/>
    </row>
    <row r="1409" spans="28:28" x14ac:dyDescent="0.25">
      <c r="AB1409" s="428"/>
    </row>
    <row r="1410" spans="28:28" x14ac:dyDescent="0.25">
      <c r="AB1410" s="428"/>
    </row>
    <row r="1411" spans="28:28" x14ac:dyDescent="0.25">
      <c r="AB1411" s="428"/>
    </row>
    <row r="1412" spans="28:28" x14ac:dyDescent="0.25">
      <c r="AB1412" s="428"/>
    </row>
    <row r="1413" spans="28:28" x14ac:dyDescent="0.25">
      <c r="AB1413" s="428"/>
    </row>
    <row r="1414" spans="28:28" x14ac:dyDescent="0.25">
      <c r="AB1414" s="428"/>
    </row>
    <row r="1415" spans="28:28" x14ac:dyDescent="0.25">
      <c r="AB1415" s="428"/>
    </row>
    <row r="1416" spans="28:28" x14ac:dyDescent="0.25">
      <c r="AB1416" s="428"/>
    </row>
    <row r="1417" spans="28:28" x14ac:dyDescent="0.25">
      <c r="AB1417" s="428"/>
    </row>
    <row r="1418" spans="28:28" x14ac:dyDescent="0.25">
      <c r="AB1418" s="428"/>
    </row>
    <row r="1419" spans="28:28" x14ac:dyDescent="0.25">
      <c r="AB1419" s="428"/>
    </row>
    <row r="1420" spans="28:28" x14ac:dyDescent="0.25">
      <c r="AB1420" s="428"/>
    </row>
    <row r="1421" spans="28:28" x14ac:dyDescent="0.25">
      <c r="AB1421" s="428"/>
    </row>
    <row r="1422" spans="28:28" x14ac:dyDescent="0.25">
      <c r="AB1422" s="428"/>
    </row>
    <row r="1423" spans="28:28" x14ac:dyDescent="0.25">
      <c r="AB1423" s="428"/>
    </row>
    <row r="1424" spans="28:28" x14ac:dyDescent="0.25">
      <c r="AB1424" s="428"/>
    </row>
    <row r="1425" spans="28:28" x14ac:dyDescent="0.25">
      <c r="AB1425" s="428"/>
    </row>
    <row r="1426" spans="28:28" x14ac:dyDescent="0.25">
      <c r="AB1426" s="428"/>
    </row>
    <row r="1427" spans="28:28" x14ac:dyDescent="0.25">
      <c r="AB1427" s="428"/>
    </row>
    <row r="1428" spans="28:28" x14ac:dyDescent="0.25">
      <c r="AB1428" s="428"/>
    </row>
    <row r="1429" spans="28:28" x14ac:dyDescent="0.25">
      <c r="AB1429" s="428"/>
    </row>
    <row r="1430" spans="28:28" x14ac:dyDescent="0.25">
      <c r="AB1430" s="428"/>
    </row>
    <row r="1431" spans="28:28" x14ac:dyDescent="0.25">
      <c r="AB1431" s="428"/>
    </row>
    <row r="1432" spans="28:28" x14ac:dyDescent="0.25">
      <c r="AB1432" s="428"/>
    </row>
    <row r="1433" spans="28:28" x14ac:dyDescent="0.25">
      <c r="AB1433" s="428"/>
    </row>
    <row r="1434" spans="28:28" x14ac:dyDescent="0.25">
      <c r="AB1434" s="428"/>
    </row>
    <row r="1435" spans="28:28" x14ac:dyDescent="0.25">
      <c r="AB1435" s="428"/>
    </row>
    <row r="1436" spans="28:28" x14ac:dyDescent="0.25">
      <c r="AB1436" s="428"/>
    </row>
    <row r="1437" spans="28:28" x14ac:dyDescent="0.25">
      <c r="AB1437" s="428"/>
    </row>
    <row r="1438" spans="28:28" x14ac:dyDescent="0.25">
      <c r="AB1438" s="428"/>
    </row>
    <row r="1439" spans="28:28" x14ac:dyDescent="0.25">
      <c r="AB1439" s="428"/>
    </row>
    <row r="1440" spans="28:28" x14ac:dyDescent="0.25">
      <c r="AB1440" s="428"/>
    </row>
    <row r="1441" spans="28:28" x14ac:dyDescent="0.25">
      <c r="AB1441" s="428"/>
    </row>
    <row r="1442" spans="28:28" x14ac:dyDescent="0.25">
      <c r="AB1442" s="428"/>
    </row>
    <row r="1443" spans="28:28" x14ac:dyDescent="0.25">
      <c r="AB1443" s="428"/>
    </row>
    <row r="1444" spans="28:28" x14ac:dyDescent="0.25">
      <c r="AB1444" s="428"/>
    </row>
    <row r="1445" spans="28:28" x14ac:dyDescent="0.25">
      <c r="AB1445" s="428"/>
    </row>
    <row r="1446" spans="28:28" x14ac:dyDescent="0.25">
      <c r="AB1446" s="428"/>
    </row>
    <row r="1447" spans="28:28" x14ac:dyDescent="0.25">
      <c r="AB1447" s="428"/>
    </row>
    <row r="1448" spans="28:28" x14ac:dyDescent="0.25">
      <c r="AB1448" s="428"/>
    </row>
    <row r="1449" spans="28:28" x14ac:dyDescent="0.25">
      <c r="AB1449" s="428"/>
    </row>
    <row r="1450" spans="28:28" x14ac:dyDescent="0.25">
      <c r="AB1450" s="428"/>
    </row>
    <row r="1451" spans="28:28" x14ac:dyDescent="0.25">
      <c r="AB1451" s="428"/>
    </row>
    <row r="1452" spans="28:28" x14ac:dyDescent="0.25">
      <c r="AB1452" s="428"/>
    </row>
    <row r="1453" spans="28:28" x14ac:dyDescent="0.25">
      <c r="AB1453" s="428"/>
    </row>
    <row r="1454" spans="28:28" x14ac:dyDescent="0.25">
      <c r="AB1454" s="428"/>
    </row>
    <row r="1455" spans="28:28" x14ac:dyDescent="0.25">
      <c r="AB1455" s="428"/>
    </row>
    <row r="1456" spans="28:28" x14ac:dyDescent="0.25">
      <c r="AB1456" s="428"/>
    </row>
    <row r="1457" spans="28:28" x14ac:dyDescent="0.25">
      <c r="AB1457" s="428"/>
    </row>
    <row r="1458" spans="28:28" x14ac:dyDescent="0.25">
      <c r="AB1458" s="428"/>
    </row>
    <row r="1459" spans="28:28" x14ac:dyDescent="0.25">
      <c r="AB1459" s="428"/>
    </row>
    <row r="1460" spans="28:28" x14ac:dyDescent="0.25">
      <c r="AB1460" s="428"/>
    </row>
    <row r="1461" spans="28:28" x14ac:dyDescent="0.25">
      <c r="AB1461" s="428"/>
    </row>
    <row r="1462" spans="28:28" x14ac:dyDescent="0.25">
      <c r="AB1462" s="428"/>
    </row>
    <row r="1463" spans="28:28" x14ac:dyDescent="0.25">
      <c r="AB1463" s="428"/>
    </row>
    <row r="1464" spans="28:28" x14ac:dyDescent="0.25">
      <c r="AB1464" s="428"/>
    </row>
    <row r="1465" spans="28:28" x14ac:dyDescent="0.25">
      <c r="AB1465" s="428"/>
    </row>
    <row r="1466" spans="28:28" x14ac:dyDescent="0.25">
      <c r="AB1466" s="428"/>
    </row>
    <row r="1467" spans="28:28" x14ac:dyDescent="0.25">
      <c r="AB1467" s="428"/>
    </row>
    <row r="1468" spans="28:28" x14ac:dyDescent="0.25">
      <c r="AB1468" s="428"/>
    </row>
    <row r="1469" spans="28:28" x14ac:dyDescent="0.25">
      <c r="AB1469" s="428"/>
    </row>
    <row r="1470" spans="28:28" x14ac:dyDescent="0.25">
      <c r="AB1470" s="428"/>
    </row>
    <row r="1471" spans="28:28" x14ac:dyDescent="0.25">
      <c r="AB1471" s="428"/>
    </row>
    <row r="1472" spans="28:28" x14ac:dyDescent="0.25">
      <c r="AB1472" s="428"/>
    </row>
    <row r="1473" spans="28:28" x14ac:dyDescent="0.25">
      <c r="AB1473" s="428"/>
    </row>
    <row r="1474" spans="28:28" x14ac:dyDescent="0.25">
      <c r="AB1474" s="428"/>
    </row>
    <row r="1475" spans="28:28" x14ac:dyDescent="0.25">
      <c r="AB1475" s="428"/>
    </row>
    <row r="1476" spans="28:28" x14ac:dyDescent="0.25">
      <c r="AB1476" s="428"/>
    </row>
    <row r="1477" spans="28:28" x14ac:dyDescent="0.25">
      <c r="AB1477" s="428"/>
    </row>
    <row r="1478" spans="28:28" x14ac:dyDescent="0.25">
      <c r="AB1478" s="428"/>
    </row>
    <row r="1479" spans="28:28" x14ac:dyDescent="0.25">
      <c r="AB1479" s="428"/>
    </row>
    <row r="1480" spans="28:28" x14ac:dyDescent="0.25">
      <c r="AB1480" s="428"/>
    </row>
    <row r="1481" spans="28:28" x14ac:dyDescent="0.25">
      <c r="AB1481" s="428"/>
    </row>
    <row r="1482" spans="28:28" x14ac:dyDescent="0.25">
      <c r="AB1482" s="428"/>
    </row>
    <row r="1483" spans="28:28" x14ac:dyDescent="0.25">
      <c r="AB1483" s="428"/>
    </row>
    <row r="1484" spans="28:28" x14ac:dyDescent="0.25">
      <c r="AB1484" s="428"/>
    </row>
    <row r="1485" spans="28:28" x14ac:dyDescent="0.25">
      <c r="AB1485" s="428"/>
    </row>
    <row r="1486" spans="28:28" x14ac:dyDescent="0.25">
      <c r="AB1486" s="428"/>
    </row>
    <row r="1487" spans="28:28" x14ac:dyDescent="0.25">
      <c r="AB1487" s="428"/>
    </row>
    <row r="1488" spans="28:28" x14ac:dyDescent="0.25">
      <c r="AB1488" s="428"/>
    </row>
    <row r="1489" spans="28:28" x14ac:dyDescent="0.25">
      <c r="AB1489" s="428"/>
    </row>
    <row r="1490" spans="28:28" x14ac:dyDescent="0.25">
      <c r="AB1490" s="428"/>
    </row>
    <row r="1491" spans="28:28" x14ac:dyDescent="0.25">
      <c r="AB1491" s="428"/>
    </row>
    <row r="1492" spans="28:28" x14ac:dyDescent="0.25">
      <c r="AB1492" s="428"/>
    </row>
    <row r="1493" spans="28:28" x14ac:dyDescent="0.25">
      <c r="AB1493" s="428"/>
    </row>
    <row r="1494" spans="28:28" x14ac:dyDescent="0.25">
      <c r="AB1494" s="428"/>
    </row>
    <row r="1495" spans="28:28" x14ac:dyDescent="0.25">
      <c r="AB1495" s="428"/>
    </row>
    <row r="1496" spans="28:28" x14ac:dyDescent="0.25">
      <c r="AB1496" s="428"/>
    </row>
    <row r="1497" spans="28:28" x14ac:dyDescent="0.25">
      <c r="AB1497" s="428"/>
    </row>
    <row r="1498" spans="28:28" x14ac:dyDescent="0.25">
      <c r="AB1498" s="428"/>
    </row>
    <row r="1499" spans="28:28" x14ac:dyDescent="0.25">
      <c r="AB1499" s="428"/>
    </row>
    <row r="1500" spans="28:28" x14ac:dyDescent="0.25">
      <c r="AB1500" s="428"/>
    </row>
    <row r="1501" spans="28:28" x14ac:dyDescent="0.25">
      <c r="AB1501" s="428"/>
    </row>
    <row r="1502" spans="28:28" x14ac:dyDescent="0.25">
      <c r="AB1502" s="428"/>
    </row>
    <row r="1503" spans="28:28" x14ac:dyDescent="0.25">
      <c r="AB1503" s="428"/>
    </row>
    <row r="1504" spans="28:28" x14ac:dyDescent="0.25">
      <c r="AB1504" s="428"/>
    </row>
    <row r="1505" spans="28:28" x14ac:dyDescent="0.25">
      <c r="AB1505" s="428"/>
    </row>
    <row r="1506" spans="28:28" x14ac:dyDescent="0.25">
      <c r="AB1506" s="428"/>
    </row>
    <row r="1507" spans="28:28" x14ac:dyDescent="0.25">
      <c r="AB1507" s="428"/>
    </row>
    <row r="1508" spans="28:28" x14ac:dyDescent="0.25">
      <c r="AB1508" s="428"/>
    </row>
    <row r="1509" spans="28:28" x14ac:dyDescent="0.25">
      <c r="AB1509" s="428"/>
    </row>
    <row r="1510" spans="28:28" x14ac:dyDescent="0.25">
      <c r="AB1510" s="428"/>
    </row>
    <row r="1511" spans="28:28" x14ac:dyDescent="0.25">
      <c r="AB1511" s="428"/>
    </row>
    <row r="1512" spans="28:28" x14ac:dyDescent="0.25">
      <c r="AB1512" s="428"/>
    </row>
    <row r="1513" spans="28:28" x14ac:dyDescent="0.25">
      <c r="AB1513" s="428"/>
    </row>
    <row r="1514" spans="28:28" x14ac:dyDescent="0.25">
      <c r="AB1514" s="428"/>
    </row>
    <row r="1515" spans="28:28" x14ac:dyDescent="0.25">
      <c r="AB1515" s="428"/>
    </row>
    <row r="1516" spans="28:28" x14ac:dyDescent="0.25">
      <c r="AB1516" s="428"/>
    </row>
    <row r="1517" spans="28:28" x14ac:dyDescent="0.25">
      <c r="AB1517" s="428"/>
    </row>
    <row r="1518" spans="28:28" x14ac:dyDescent="0.25">
      <c r="AB1518" s="428"/>
    </row>
    <row r="1519" spans="28:28" x14ac:dyDescent="0.25">
      <c r="AB1519" s="428"/>
    </row>
    <row r="1520" spans="28:28" x14ac:dyDescent="0.25">
      <c r="AB1520" s="428"/>
    </row>
    <row r="1521" spans="28:28" x14ac:dyDescent="0.25">
      <c r="AB1521" s="428"/>
    </row>
    <row r="1522" spans="28:28" x14ac:dyDescent="0.25">
      <c r="AB1522" s="428"/>
    </row>
    <row r="1523" spans="28:28" x14ac:dyDescent="0.25">
      <c r="AB1523" s="428"/>
    </row>
    <row r="1524" spans="28:28" x14ac:dyDescent="0.25">
      <c r="AB1524" s="428"/>
    </row>
    <row r="1525" spans="28:28" x14ac:dyDescent="0.25">
      <c r="AB1525" s="428"/>
    </row>
    <row r="1526" spans="28:28" x14ac:dyDescent="0.25">
      <c r="AB1526" s="428"/>
    </row>
    <row r="1527" spans="28:28" x14ac:dyDescent="0.25">
      <c r="AB1527" s="428"/>
    </row>
    <row r="1528" spans="28:28" x14ac:dyDescent="0.25">
      <c r="AB1528" s="428"/>
    </row>
    <row r="1529" spans="28:28" x14ac:dyDescent="0.25">
      <c r="AB1529" s="428"/>
    </row>
    <row r="1530" spans="28:28" x14ac:dyDescent="0.25">
      <c r="AB1530" s="428"/>
    </row>
    <row r="1531" spans="28:28" x14ac:dyDescent="0.25">
      <c r="AB1531" s="428"/>
    </row>
    <row r="1532" spans="28:28" x14ac:dyDescent="0.25">
      <c r="AB1532" s="428"/>
    </row>
    <row r="1533" spans="28:28" x14ac:dyDescent="0.25">
      <c r="AB1533" s="428"/>
    </row>
    <row r="1534" spans="28:28" x14ac:dyDescent="0.25">
      <c r="AB1534" s="428"/>
    </row>
    <row r="1535" spans="28:28" x14ac:dyDescent="0.25">
      <c r="AB1535" s="428"/>
    </row>
    <row r="1536" spans="28:28" x14ac:dyDescent="0.25">
      <c r="AB1536" s="428"/>
    </row>
    <row r="1537" spans="28:28" x14ac:dyDescent="0.25">
      <c r="AB1537" s="428"/>
    </row>
    <row r="1538" spans="28:28" x14ac:dyDescent="0.25">
      <c r="AB1538" s="428"/>
    </row>
    <row r="1539" spans="28:28" x14ac:dyDescent="0.25">
      <c r="AB1539" s="428"/>
    </row>
    <row r="1540" spans="28:28" x14ac:dyDescent="0.25">
      <c r="AB1540" s="428"/>
    </row>
    <row r="1541" spans="28:28" x14ac:dyDescent="0.25">
      <c r="AB1541" s="428"/>
    </row>
    <row r="1542" spans="28:28" x14ac:dyDescent="0.25">
      <c r="AB1542" s="428"/>
    </row>
    <row r="1543" spans="28:28" x14ac:dyDescent="0.25">
      <c r="AB1543" s="428"/>
    </row>
    <row r="1544" spans="28:28" x14ac:dyDescent="0.25">
      <c r="AB1544" s="428"/>
    </row>
    <row r="1545" spans="28:28" x14ac:dyDescent="0.25">
      <c r="AB1545" s="428"/>
    </row>
    <row r="1546" spans="28:28" x14ac:dyDescent="0.25">
      <c r="AB1546" s="428"/>
    </row>
    <row r="1547" spans="28:28" x14ac:dyDescent="0.25">
      <c r="AB1547" s="428"/>
    </row>
    <row r="1548" spans="28:28" x14ac:dyDescent="0.25">
      <c r="AB1548" s="428"/>
    </row>
    <row r="1549" spans="28:28" x14ac:dyDescent="0.25">
      <c r="AB1549" s="428"/>
    </row>
    <row r="1550" spans="28:28" x14ac:dyDescent="0.25">
      <c r="AB1550" s="428"/>
    </row>
    <row r="1551" spans="28:28" x14ac:dyDescent="0.25">
      <c r="AB1551" s="428"/>
    </row>
    <row r="1552" spans="28:28" x14ac:dyDescent="0.25">
      <c r="AB1552" s="428"/>
    </row>
    <row r="1553" spans="28:28" x14ac:dyDescent="0.25">
      <c r="AB1553" s="428"/>
    </row>
    <row r="1554" spans="28:28" x14ac:dyDescent="0.25">
      <c r="AB1554" s="428"/>
    </row>
    <row r="1555" spans="28:28" x14ac:dyDescent="0.25">
      <c r="AB1555" s="428"/>
    </row>
    <row r="1556" spans="28:28" x14ac:dyDescent="0.25">
      <c r="AB1556" s="428"/>
    </row>
    <row r="1557" spans="28:28" x14ac:dyDescent="0.25">
      <c r="AB1557" s="428"/>
    </row>
    <row r="1558" spans="28:28" x14ac:dyDescent="0.25">
      <c r="AB1558" s="428"/>
    </row>
    <row r="1559" spans="28:28" x14ac:dyDescent="0.25">
      <c r="AB1559" s="428"/>
    </row>
    <row r="1560" spans="28:28" x14ac:dyDescent="0.25">
      <c r="AB1560" s="428"/>
    </row>
    <row r="1561" spans="28:28" x14ac:dyDescent="0.25">
      <c r="AB1561" s="428"/>
    </row>
    <row r="1562" spans="28:28" x14ac:dyDescent="0.25">
      <c r="AB1562" s="428"/>
    </row>
    <row r="1563" spans="28:28" x14ac:dyDescent="0.25">
      <c r="AB1563" s="428"/>
    </row>
    <row r="1564" spans="28:28" x14ac:dyDescent="0.25">
      <c r="AB1564" s="428"/>
    </row>
    <row r="1565" spans="28:28" x14ac:dyDescent="0.25">
      <c r="AB1565" s="428"/>
    </row>
    <row r="1566" spans="28:28" x14ac:dyDescent="0.25">
      <c r="AB1566" s="428"/>
    </row>
    <row r="1567" spans="28:28" x14ac:dyDescent="0.25">
      <c r="AB1567" s="428"/>
    </row>
    <row r="1568" spans="28:28" x14ac:dyDescent="0.25">
      <c r="AB1568" s="428"/>
    </row>
    <row r="1569" spans="28:28" x14ac:dyDescent="0.25">
      <c r="AB1569" s="428"/>
    </row>
    <row r="1570" spans="28:28" x14ac:dyDescent="0.25">
      <c r="AB1570" s="428"/>
    </row>
    <row r="1571" spans="28:28" x14ac:dyDescent="0.25">
      <c r="AB1571" s="428"/>
    </row>
    <row r="1572" spans="28:28" x14ac:dyDescent="0.25">
      <c r="AB1572" s="428"/>
    </row>
    <row r="1573" spans="28:28" x14ac:dyDescent="0.25">
      <c r="AB1573" s="428"/>
    </row>
    <row r="1574" spans="28:28" x14ac:dyDescent="0.25">
      <c r="AB1574" s="428"/>
    </row>
    <row r="1575" spans="28:28" x14ac:dyDescent="0.25">
      <c r="AB1575" s="428"/>
    </row>
    <row r="1576" spans="28:28" x14ac:dyDescent="0.25">
      <c r="AB1576" s="428"/>
    </row>
    <row r="1577" spans="28:28" x14ac:dyDescent="0.25">
      <c r="AB1577" s="428"/>
    </row>
    <row r="1578" spans="28:28" x14ac:dyDescent="0.25">
      <c r="AB1578" s="428"/>
    </row>
    <row r="1579" spans="28:28" x14ac:dyDescent="0.25">
      <c r="AB1579" s="428"/>
    </row>
    <row r="1580" spans="28:28" x14ac:dyDescent="0.25">
      <c r="AB1580" s="428"/>
    </row>
    <row r="1581" spans="28:28" x14ac:dyDescent="0.25">
      <c r="AB1581" s="428"/>
    </row>
    <row r="1582" spans="28:28" x14ac:dyDescent="0.25">
      <c r="AB1582" s="428"/>
    </row>
    <row r="1583" spans="28:28" x14ac:dyDescent="0.25">
      <c r="AB1583" s="428"/>
    </row>
    <row r="1584" spans="28:28" x14ac:dyDescent="0.25">
      <c r="AB1584" s="428"/>
    </row>
    <row r="1585" spans="28:28" x14ac:dyDescent="0.25">
      <c r="AB1585" s="428"/>
    </row>
    <row r="1586" spans="28:28" x14ac:dyDescent="0.25">
      <c r="AB1586" s="428"/>
    </row>
    <row r="1587" spans="28:28" x14ac:dyDescent="0.25">
      <c r="AB1587" s="428"/>
    </row>
    <row r="1588" spans="28:28" x14ac:dyDescent="0.25">
      <c r="AB1588" s="428"/>
    </row>
    <row r="1589" spans="28:28" x14ac:dyDescent="0.25">
      <c r="AB1589" s="428"/>
    </row>
    <row r="1590" spans="28:28" x14ac:dyDescent="0.25">
      <c r="AB1590" s="428"/>
    </row>
    <row r="1591" spans="28:28" x14ac:dyDescent="0.25">
      <c r="AB1591" s="428"/>
    </row>
    <row r="1592" spans="28:28" x14ac:dyDescent="0.25">
      <c r="AB1592" s="428"/>
    </row>
    <row r="1593" spans="28:28" x14ac:dyDescent="0.25">
      <c r="AB1593" s="428"/>
    </row>
    <row r="1594" spans="28:28" x14ac:dyDescent="0.25">
      <c r="AB1594" s="428"/>
    </row>
    <row r="1595" spans="28:28" x14ac:dyDescent="0.25">
      <c r="AB1595" s="428"/>
    </row>
    <row r="1596" spans="28:28" x14ac:dyDescent="0.25">
      <c r="AB1596" s="428"/>
    </row>
    <row r="1597" spans="28:28" x14ac:dyDescent="0.25">
      <c r="AB1597" s="428"/>
    </row>
    <row r="1598" spans="28:28" x14ac:dyDescent="0.25">
      <c r="AB1598" s="428"/>
    </row>
    <row r="1599" spans="28:28" x14ac:dyDescent="0.25">
      <c r="AB1599" s="428"/>
    </row>
    <row r="1600" spans="28:28" x14ac:dyDescent="0.25">
      <c r="AB1600" s="428"/>
    </row>
    <row r="1601" spans="28:28" x14ac:dyDescent="0.25">
      <c r="AB1601" s="428"/>
    </row>
    <row r="1602" spans="28:28" x14ac:dyDescent="0.25">
      <c r="AB1602" s="428"/>
    </row>
    <row r="1603" spans="28:28" x14ac:dyDescent="0.25">
      <c r="AB1603" s="428"/>
    </row>
    <row r="1604" spans="28:28" x14ac:dyDescent="0.25">
      <c r="AB1604" s="428"/>
    </row>
    <row r="1605" spans="28:28" x14ac:dyDescent="0.25">
      <c r="AB1605" s="428"/>
    </row>
    <row r="1606" spans="28:28" x14ac:dyDescent="0.25">
      <c r="AB1606" s="428"/>
    </row>
    <row r="1607" spans="28:28" x14ac:dyDescent="0.25">
      <c r="AB1607" s="428"/>
    </row>
    <row r="1608" spans="28:28" x14ac:dyDescent="0.25">
      <c r="AB1608" s="428"/>
    </row>
    <row r="1609" spans="28:28" x14ac:dyDescent="0.25">
      <c r="AB1609" s="428"/>
    </row>
    <row r="1610" spans="28:28" x14ac:dyDescent="0.25">
      <c r="AB1610" s="428"/>
    </row>
    <row r="1611" spans="28:28" x14ac:dyDescent="0.25">
      <c r="AB1611" s="428"/>
    </row>
    <row r="1612" spans="28:28" x14ac:dyDescent="0.25">
      <c r="AB1612" s="428"/>
    </row>
    <row r="1613" spans="28:28" x14ac:dyDescent="0.25">
      <c r="AB1613" s="428"/>
    </row>
    <row r="1614" spans="28:28" x14ac:dyDescent="0.25">
      <c r="AB1614" s="428"/>
    </row>
    <row r="1615" spans="28:28" x14ac:dyDescent="0.25">
      <c r="AB1615" s="428"/>
    </row>
    <row r="1616" spans="28:28" x14ac:dyDescent="0.25">
      <c r="AB1616" s="428"/>
    </row>
    <row r="1617" spans="28:28" x14ac:dyDescent="0.25">
      <c r="AB1617" s="428"/>
    </row>
    <row r="1618" spans="28:28" x14ac:dyDescent="0.25">
      <c r="AB1618" s="428"/>
    </row>
    <row r="1619" spans="28:28" x14ac:dyDescent="0.25">
      <c r="AB1619" s="428"/>
    </row>
    <row r="1620" spans="28:28" x14ac:dyDescent="0.25">
      <c r="AB1620" s="428"/>
    </row>
    <row r="1621" spans="28:28" x14ac:dyDescent="0.25">
      <c r="AB1621" s="428"/>
    </row>
    <row r="1622" spans="28:28" x14ac:dyDescent="0.25">
      <c r="AB1622" s="428"/>
    </row>
    <row r="1623" spans="28:28" x14ac:dyDescent="0.25">
      <c r="AB1623" s="428"/>
    </row>
    <row r="1624" spans="28:28" x14ac:dyDescent="0.25">
      <c r="AB1624" s="428"/>
    </row>
    <row r="1625" spans="28:28" x14ac:dyDescent="0.25">
      <c r="AB1625" s="428"/>
    </row>
    <row r="1626" spans="28:28" x14ac:dyDescent="0.25">
      <c r="AB1626" s="428"/>
    </row>
    <row r="1627" spans="28:28" x14ac:dyDescent="0.25">
      <c r="AB1627" s="428"/>
    </row>
    <row r="1628" spans="28:28" x14ac:dyDescent="0.25">
      <c r="AB1628" s="428"/>
    </row>
    <row r="1629" spans="28:28" x14ac:dyDescent="0.25">
      <c r="AB1629" s="428"/>
    </row>
    <row r="1630" spans="28:28" x14ac:dyDescent="0.25">
      <c r="AB1630" s="428"/>
    </row>
    <row r="1631" spans="28:28" x14ac:dyDescent="0.25">
      <c r="AB1631" s="428"/>
    </row>
    <row r="1632" spans="28:28" x14ac:dyDescent="0.25">
      <c r="AB1632" s="428"/>
    </row>
    <row r="1633" spans="28:28" x14ac:dyDescent="0.25">
      <c r="AB1633" s="428"/>
    </row>
    <row r="1634" spans="28:28" x14ac:dyDescent="0.25">
      <c r="AB1634" s="428"/>
    </row>
    <row r="1635" spans="28:28" x14ac:dyDescent="0.25">
      <c r="AB1635" s="428"/>
    </row>
    <row r="1636" spans="28:28" x14ac:dyDescent="0.25">
      <c r="AB1636" s="428"/>
    </row>
    <row r="1637" spans="28:28" x14ac:dyDescent="0.25">
      <c r="AB1637" s="428"/>
    </row>
    <row r="1638" spans="28:28" x14ac:dyDescent="0.25">
      <c r="AB1638" s="428"/>
    </row>
    <row r="1639" spans="28:28" x14ac:dyDescent="0.25">
      <c r="AB1639" s="428"/>
    </row>
    <row r="1640" spans="28:28" x14ac:dyDescent="0.25">
      <c r="AB1640" s="428"/>
    </row>
    <row r="1641" spans="28:28" x14ac:dyDescent="0.25">
      <c r="AB1641" s="428"/>
    </row>
    <row r="1642" spans="28:28" x14ac:dyDescent="0.25">
      <c r="AB1642" s="428"/>
    </row>
    <row r="1643" spans="28:28" x14ac:dyDescent="0.25">
      <c r="AB1643" s="428"/>
    </row>
    <row r="1644" spans="28:28" x14ac:dyDescent="0.25">
      <c r="AB1644" s="428"/>
    </row>
    <row r="1645" spans="28:28" x14ac:dyDescent="0.25">
      <c r="AB1645" s="428"/>
    </row>
    <row r="1646" spans="28:28" x14ac:dyDescent="0.25">
      <c r="AB1646" s="428"/>
    </row>
    <row r="1647" spans="28:28" x14ac:dyDescent="0.25">
      <c r="AB1647" s="428"/>
    </row>
    <row r="1648" spans="28:28" x14ac:dyDescent="0.25">
      <c r="AB1648" s="428"/>
    </row>
    <row r="1649" spans="28:28" x14ac:dyDescent="0.25">
      <c r="AB1649" s="428"/>
    </row>
    <row r="1650" spans="28:28" x14ac:dyDescent="0.25">
      <c r="AB1650" s="428"/>
    </row>
    <row r="1651" spans="28:28" x14ac:dyDescent="0.25">
      <c r="AB1651" s="428"/>
    </row>
    <row r="1652" spans="28:28" x14ac:dyDescent="0.25">
      <c r="AB1652" s="428"/>
    </row>
    <row r="1653" spans="28:28" x14ac:dyDescent="0.25">
      <c r="AB1653" s="428"/>
    </row>
    <row r="1654" spans="28:28" x14ac:dyDescent="0.25">
      <c r="AB1654" s="428"/>
    </row>
    <row r="1655" spans="28:28" x14ac:dyDescent="0.25">
      <c r="AB1655" s="428"/>
    </row>
    <row r="1656" spans="28:28" x14ac:dyDescent="0.25">
      <c r="AB1656" s="428"/>
    </row>
    <row r="1657" spans="28:28" x14ac:dyDescent="0.25">
      <c r="AB1657" s="428"/>
    </row>
    <row r="1658" spans="28:28" x14ac:dyDescent="0.25">
      <c r="AB1658" s="428"/>
    </row>
    <row r="1659" spans="28:28" x14ac:dyDescent="0.25">
      <c r="AB1659" s="428"/>
    </row>
    <row r="1660" spans="28:28" x14ac:dyDescent="0.25">
      <c r="AB1660" s="428"/>
    </row>
    <row r="1661" spans="28:28" x14ac:dyDescent="0.25">
      <c r="AB1661" s="428"/>
    </row>
    <row r="1662" spans="28:28" x14ac:dyDescent="0.25">
      <c r="AB1662" s="428"/>
    </row>
    <row r="1663" spans="28:28" x14ac:dyDescent="0.25">
      <c r="AB1663" s="428"/>
    </row>
    <row r="1664" spans="28:28" x14ac:dyDescent="0.25">
      <c r="AB1664" s="428"/>
    </row>
    <row r="1665" spans="28:28" x14ac:dyDescent="0.25">
      <c r="AB1665" s="428"/>
    </row>
    <row r="1666" spans="28:28" x14ac:dyDescent="0.25">
      <c r="AB1666" s="428"/>
    </row>
    <row r="1667" spans="28:28" x14ac:dyDescent="0.25">
      <c r="AB1667" s="428"/>
    </row>
    <row r="1668" spans="28:28" x14ac:dyDescent="0.25">
      <c r="AB1668" s="428"/>
    </row>
    <row r="1669" spans="28:28" x14ac:dyDescent="0.25">
      <c r="AB1669" s="428"/>
    </row>
    <row r="1670" spans="28:28" x14ac:dyDescent="0.25">
      <c r="AB1670" s="428"/>
    </row>
    <row r="1671" spans="28:28" x14ac:dyDescent="0.25">
      <c r="AB1671" s="428"/>
    </row>
    <row r="1672" spans="28:28" x14ac:dyDescent="0.25">
      <c r="AB1672" s="428"/>
    </row>
    <row r="1673" spans="28:28" x14ac:dyDescent="0.25">
      <c r="AB1673" s="428"/>
    </row>
    <row r="1674" spans="28:28" x14ac:dyDescent="0.25">
      <c r="AB1674" s="428"/>
    </row>
    <row r="1675" spans="28:28" x14ac:dyDescent="0.25">
      <c r="AB1675" s="428"/>
    </row>
    <row r="1676" spans="28:28" x14ac:dyDescent="0.25">
      <c r="AB1676" s="428"/>
    </row>
    <row r="1677" spans="28:28" x14ac:dyDescent="0.25">
      <c r="AB1677" s="428"/>
    </row>
    <row r="1678" spans="28:28" x14ac:dyDescent="0.25">
      <c r="AB1678" s="428"/>
    </row>
    <row r="1679" spans="28:28" x14ac:dyDescent="0.25">
      <c r="AB1679" s="428"/>
    </row>
    <row r="1680" spans="28:28" x14ac:dyDescent="0.25">
      <c r="AB1680" s="428"/>
    </row>
    <row r="1681" spans="28:28" x14ac:dyDescent="0.25">
      <c r="AB1681" s="428"/>
    </row>
    <row r="1682" spans="28:28" x14ac:dyDescent="0.25">
      <c r="AB1682" s="428"/>
    </row>
    <row r="1683" spans="28:28" x14ac:dyDescent="0.25">
      <c r="AB1683" s="428"/>
    </row>
    <row r="1684" spans="28:28" x14ac:dyDescent="0.25">
      <c r="AB1684" s="428"/>
    </row>
    <row r="1685" spans="28:28" x14ac:dyDescent="0.25">
      <c r="AB1685" s="428"/>
    </row>
    <row r="1686" spans="28:28" x14ac:dyDescent="0.25">
      <c r="AB1686" s="428"/>
    </row>
    <row r="1687" spans="28:28" x14ac:dyDescent="0.25">
      <c r="AB1687" s="428"/>
    </row>
    <row r="1688" spans="28:28" x14ac:dyDescent="0.25">
      <c r="AB1688" s="428"/>
    </row>
    <row r="1689" spans="28:28" x14ac:dyDescent="0.25">
      <c r="AB1689" s="428"/>
    </row>
    <row r="1690" spans="28:28" x14ac:dyDescent="0.25">
      <c r="AB1690" s="428"/>
    </row>
    <row r="1691" spans="28:28" x14ac:dyDescent="0.25">
      <c r="AB1691" s="428"/>
    </row>
    <row r="1692" spans="28:28" x14ac:dyDescent="0.25">
      <c r="AB1692" s="428"/>
    </row>
    <row r="1693" spans="28:28" x14ac:dyDescent="0.25">
      <c r="AB1693" s="428"/>
    </row>
    <row r="1694" spans="28:28" x14ac:dyDescent="0.25">
      <c r="AB1694" s="428"/>
    </row>
    <row r="1695" spans="28:28" x14ac:dyDescent="0.25">
      <c r="AB1695" s="428"/>
    </row>
    <row r="1696" spans="28:28" x14ac:dyDescent="0.25">
      <c r="AB1696" s="428"/>
    </row>
    <row r="1697" spans="28:28" x14ac:dyDescent="0.25">
      <c r="AB1697" s="428"/>
    </row>
    <row r="1698" spans="28:28" x14ac:dyDescent="0.25">
      <c r="AB1698" s="428"/>
    </row>
    <row r="1699" spans="28:28" x14ac:dyDescent="0.25">
      <c r="AB1699" s="428"/>
    </row>
    <row r="1700" spans="28:28" x14ac:dyDescent="0.25">
      <c r="AB1700" s="428"/>
    </row>
    <row r="1701" spans="28:28" x14ac:dyDescent="0.25">
      <c r="AB1701" s="428"/>
    </row>
    <row r="1702" spans="28:28" x14ac:dyDescent="0.25">
      <c r="AB1702" s="428"/>
    </row>
    <row r="1703" spans="28:28" x14ac:dyDescent="0.25">
      <c r="AB1703" s="428"/>
    </row>
    <row r="1704" spans="28:28" x14ac:dyDescent="0.25">
      <c r="AB1704" s="428"/>
    </row>
    <row r="1705" spans="28:28" x14ac:dyDescent="0.25">
      <c r="AB1705" s="428"/>
    </row>
    <row r="1706" spans="28:28" x14ac:dyDescent="0.25">
      <c r="AB1706" s="428"/>
    </row>
    <row r="1707" spans="28:28" x14ac:dyDescent="0.25">
      <c r="AB1707" s="428"/>
    </row>
    <row r="1708" spans="28:28" x14ac:dyDescent="0.25">
      <c r="AB1708" s="428"/>
    </row>
    <row r="1709" spans="28:28" x14ac:dyDescent="0.25">
      <c r="AB1709" s="428"/>
    </row>
    <row r="1710" spans="28:28" x14ac:dyDescent="0.25">
      <c r="AB1710" s="428"/>
    </row>
    <row r="1711" spans="28:28" x14ac:dyDescent="0.25">
      <c r="AB1711" s="428"/>
    </row>
    <row r="1712" spans="28:28" x14ac:dyDescent="0.25">
      <c r="AB1712" s="428"/>
    </row>
    <row r="1713" spans="28:28" x14ac:dyDescent="0.25">
      <c r="AB1713" s="428"/>
    </row>
    <row r="1714" spans="28:28" x14ac:dyDescent="0.25">
      <c r="AB1714" s="428"/>
    </row>
    <row r="1715" spans="28:28" x14ac:dyDescent="0.25">
      <c r="AB1715" s="428"/>
    </row>
    <row r="1716" spans="28:28" x14ac:dyDescent="0.25">
      <c r="AB1716" s="428"/>
    </row>
    <row r="1717" spans="28:28" x14ac:dyDescent="0.25">
      <c r="AB1717" s="428"/>
    </row>
    <row r="1718" spans="28:28" x14ac:dyDescent="0.25">
      <c r="AB1718" s="428"/>
    </row>
    <row r="1719" spans="28:28" x14ac:dyDescent="0.25">
      <c r="AB1719" s="428"/>
    </row>
    <row r="1720" spans="28:28" x14ac:dyDescent="0.25">
      <c r="AB1720" s="428"/>
    </row>
    <row r="1721" spans="28:28" x14ac:dyDescent="0.25">
      <c r="AB1721" s="428"/>
    </row>
    <row r="1722" spans="28:28" x14ac:dyDescent="0.25">
      <c r="AB1722" s="428"/>
    </row>
    <row r="1723" spans="28:28" x14ac:dyDescent="0.25">
      <c r="AB1723" s="428"/>
    </row>
    <row r="1724" spans="28:28" x14ac:dyDescent="0.25">
      <c r="AB1724" s="428"/>
    </row>
    <row r="1725" spans="28:28" x14ac:dyDescent="0.25">
      <c r="AB1725" s="428"/>
    </row>
    <row r="1726" spans="28:28" x14ac:dyDescent="0.25">
      <c r="AB1726" s="428"/>
    </row>
    <row r="1727" spans="28:28" x14ac:dyDescent="0.25">
      <c r="AB1727" s="428"/>
    </row>
    <row r="1728" spans="28:28" x14ac:dyDescent="0.25">
      <c r="AB1728" s="428"/>
    </row>
    <row r="1729" spans="28:28" x14ac:dyDescent="0.25">
      <c r="AB1729" s="428"/>
    </row>
    <row r="1730" spans="28:28" x14ac:dyDescent="0.25">
      <c r="AB1730" s="428"/>
    </row>
    <row r="1731" spans="28:28" x14ac:dyDescent="0.25">
      <c r="AB1731" s="428"/>
    </row>
    <row r="1732" spans="28:28" x14ac:dyDescent="0.25">
      <c r="AB1732" s="428"/>
    </row>
    <row r="1733" spans="28:28" x14ac:dyDescent="0.25">
      <c r="AB1733" s="428"/>
    </row>
    <row r="1734" spans="28:28" x14ac:dyDescent="0.25">
      <c r="AB1734" s="428"/>
    </row>
    <row r="1735" spans="28:28" x14ac:dyDescent="0.25">
      <c r="AB1735" s="428"/>
    </row>
    <row r="1736" spans="28:28" x14ac:dyDescent="0.25">
      <c r="AB1736" s="428"/>
    </row>
    <row r="1737" spans="28:28" x14ac:dyDescent="0.25">
      <c r="AB1737" s="428"/>
    </row>
    <row r="1738" spans="28:28" x14ac:dyDescent="0.25">
      <c r="AB1738" s="428"/>
    </row>
    <row r="1739" spans="28:28" x14ac:dyDescent="0.25">
      <c r="AB1739" s="428"/>
    </row>
    <row r="1740" spans="28:28" x14ac:dyDescent="0.25">
      <c r="AB1740" s="428"/>
    </row>
    <row r="1741" spans="28:28" x14ac:dyDescent="0.25">
      <c r="AB1741" s="428"/>
    </row>
    <row r="1742" spans="28:28" x14ac:dyDescent="0.25">
      <c r="AB1742" s="428"/>
    </row>
    <row r="1743" spans="28:28" x14ac:dyDescent="0.25">
      <c r="AB1743" s="428"/>
    </row>
    <row r="1744" spans="28:28" x14ac:dyDescent="0.25">
      <c r="AB1744" s="428"/>
    </row>
    <row r="1745" spans="28:28" x14ac:dyDescent="0.25">
      <c r="AB1745" s="428"/>
    </row>
    <row r="1746" spans="28:28" x14ac:dyDescent="0.25">
      <c r="AB1746" s="428"/>
    </row>
    <row r="1747" spans="28:28" x14ac:dyDescent="0.25">
      <c r="AB1747" s="428"/>
    </row>
    <row r="1748" spans="28:28" x14ac:dyDescent="0.25">
      <c r="AB1748" s="428"/>
    </row>
    <row r="1749" spans="28:28" x14ac:dyDescent="0.25">
      <c r="AB1749" s="428"/>
    </row>
    <row r="1750" spans="28:28" x14ac:dyDescent="0.25">
      <c r="AB1750" s="428"/>
    </row>
    <row r="1751" spans="28:28" x14ac:dyDescent="0.25">
      <c r="AB1751" s="428"/>
    </row>
    <row r="1752" spans="28:28" x14ac:dyDescent="0.25">
      <c r="AB1752" s="428"/>
    </row>
    <row r="1753" spans="28:28" x14ac:dyDescent="0.25">
      <c r="AB1753" s="428"/>
    </row>
    <row r="1754" spans="28:28" x14ac:dyDescent="0.25">
      <c r="AB1754" s="428"/>
    </row>
    <row r="1755" spans="28:28" x14ac:dyDescent="0.25">
      <c r="AB1755" s="428"/>
    </row>
    <row r="1756" spans="28:28" x14ac:dyDescent="0.25">
      <c r="AB1756" s="428"/>
    </row>
    <row r="1757" spans="28:28" x14ac:dyDescent="0.25">
      <c r="AB1757" s="428"/>
    </row>
    <row r="1758" spans="28:28" x14ac:dyDescent="0.25">
      <c r="AB1758" s="428"/>
    </row>
    <row r="1759" spans="28:28" x14ac:dyDescent="0.25">
      <c r="AB1759" s="428"/>
    </row>
    <row r="1760" spans="28:28" x14ac:dyDescent="0.25">
      <c r="AB1760" s="428"/>
    </row>
    <row r="1761" spans="28:28" x14ac:dyDescent="0.25">
      <c r="AB1761" s="428"/>
    </row>
    <row r="1762" spans="28:28" x14ac:dyDescent="0.25">
      <c r="AB1762" s="428"/>
    </row>
    <row r="1763" spans="28:28" x14ac:dyDescent="0.25">
      <c r="AB1763" s="428"/>
    </row>
    <row r="1764" spans="28:28" x14ac:dyDescent="0.25">
      <c r="AB1764" s="428"/>
    </row>
    <row r="1765" spans="28:28" x14ac:dyDescent="0.25">
      <c r="AB1765" s="428"/>
    </row>
    <row r="1766" spans="28:28" x14ac:dyDescent="0.25">
      <c r="AB1766" s="428"/>
    </row>
    <row r="1767" spans="28:28" x14ac:dyDescent="0.25">
      <c r="AB1767" s="428"/>
    </row>
    <row r="1768" spans="28:28" x14ac:dyDescent="0.25">
      <c r="AB1768" s="428"/>
    </row>
    <row r="1769" spans="28:28" x14ac:dyDescent="0.25">
      <c r="AB1769" s="428"/>
    </row>
    <row r="1770" spans="28:28" x14ac:dyDescent="0.25">
      <c r="AB1770" s="428"/>
    </row>
    <row r="1771" spans="28:28" x14ac:dyDescent="0.25">
      <c r="AB1771" s="428"/>
    </row>
    <row r="1772" spans="28:28" x14ac:dyDescent="0.25">
      <c r="AB1772" s="428"/>
    </row>
    <row r="1773" spans="28:28" x14ac:dyDescent="0.25">
      <c r="AB1773" s="428"/>
    </row>
    <row r="1774" spans="28:28" x14ac:dyDescent="0.25">
      <c r="AB1774" s="428"/>
    </row>
    <row r="1775" spans="28:28" x14ac:dyDescent="0.25">
      <c r="AB1775" s="428"/>
    </row>
    <row r="1776" spans="28:28" x14ac:dyDescent="0.25">
      <c r="AB1776" s="428"/>
    </row>
    <row r="1777" spans="28:28" x14ac:dyDescent="0.25">
      <c r="AB1777" s="428"/>
    </row>
    <row r="1778" spans="28:28" x14ac:dyDescent="0.25">
      <c r="AB1778" s="428"/>
    </row>
    <row r="1779" spans="28:28" x14ac:dyDescent="0.25">
      <c r="AB1779" s="428"/>
    </row>
    <row r="1780" spans="28:28" x14ac:dyDescent="0.25">
      <c r="AB1780" s="428"/>
    </row>
    <row r="1781" spans="28:28" x14ac:dyDescent="0.25">
      <c r="AB1781" s="428"/>
    </row>
    <row r="1782" spans="28:28" x14ac:dyDescent="0.25">
      <c r="AB1782" s="428"/>
    </row>
    <row r="1783" spans="28:28" x14ac:dyDescent="0.25">
      <c r="AB1783" s="428"/>
    </row>
    <row r="1784" spans="28:28" x14ac:dyDescent="0.25">
      <c r="AB1784" s="428"/>
    </row>
    <row r="1785" spans="28:28" x14ac:dyDescent="0.25">
      <c r="AB1785" s="428"/>
    </row>
    <row r="1786" spans="28:28" x14ac:dyDescent="0.25">
      <c r="AB1786" s="428"/>
    </row>
    <row r="1787" spans="28:28" x14ac:dyDescent="0.25">
      <c r="AB1787" s="428"/>
    </row>
    <row r="1788" spans="28:28" x14ac:dyDescent="0.25">
      <c r="AB1788" s="428"/>
    </row>
    <row r="1789" spans="28:28" x14ac:dyDescent="0.25">
      <c r="AB1789" s="428"/>
    </row>
    <row r="1790" spans="28:28" x14ac:dyDescent="0.25">
      <c r="AB1790" s="428"/>
    </row>
    <row r="1791" spans="28:28" x14ac:dyDescent="0.25">
      <c r="AB1791" s="428"/>
    </row>
    <row r="1792" spans="28:28" x14ac:dyDescent="0.25">
      <c r="AB1792" s="428"/>
    </row>
    <row r="1793" spans="28:28" x14ac:dyDescent="0.25">
      <c r="AB1793" s="428"/>
    </row>
    <row r="1794" spans="28:28" x14ac:dyDescent="0.25">
      <c r="AB1794" s="428"/>
    </row>
    <row r="1795" spans="28:28" x14ac:dyDescent="0.25">
      <c r="AB1795" s="428"/>
    </row>
    <row r="1796" spans="28:28" x14ac:dyDescent="0.25">
      <c r="AB1796" s="428"/>
    </row>
    <row r="1797" spans="28:28" x14ac:dyDescent="0.25">
      <c r="AB1797" s="428"/>
    </row>
    <row r="1798" spans="28:28" x14ac:dyDescent="0.25">
      <c r="AB1798" s="428"/>
    </row>
    <row r="1799" spans="28:28" x14ac:dyDescent="0.25">
      <c r="AB1799" s="428"/>
    </row>
    <row r="1800" spans="28:28" x14ac:dyDescent="0.25">
      <c r="AB1800" s="428"/>
    </row>
    <row r="1801" spans="28:28" x14ac:dyDescent="0.25">
      <c r="AB1801" s="428"/>
    </row>
    <row r="1802" spans="28:28" x14ac:dyDescent="0.25">
      <c r="AB1802" s="428"/>
    </row>
    <row r="1803" spans="28:28" x14ac:dyDescent="0.25">
      <c r="AB1803" s="428"/>
    </row>
    <row r="1804" spans="28:28" x14ac:dyDescent="0.25">
      <c r="AB1804" s="428"/>
    </row>
    <row r="1805" spans="28:28" x14ac:dyDescent="0.25">
      <c r="AB1805" s="428"/>
    </row>
    <row r="1806" spans="28:28" x14ac:dyDescent="0.25">
      <c r="AB1806" s="428"/>
    </row>
    <row r="1807" spans="28:28" x14ac:dyDescent="0.25">
      <c r="AB1807" s="428"/>
    </row>
    <row r="1808" spans="28:28" x14ac:dyDescent="0.25">
      <c r="AB1808" s="428"/>
    </row>
    <row r="1809" spans="28:28" x14ac:dyDescent="0.25">
      <c r="AB1809" s="428"/>
    </row>
    <row r="1810" spans="28:28" x14ac:dyDescent="0.25">
      <c r="AB1810" s="428"/>
    </row>
    <row r="1811" spans="28:28" x14ac:dyDescent="0.25">
      <c r="AB1811" s="428"/>
    </row>
    <row r="1812" spans="28:28" x14ac:dyDescent="0.25">
      <c r="AB1812" s="428"/>
    </row>
    <row r="1813" spans="28:28" x14ac:dyDescent="0.25">
      <c r="AB1813" s="428"/>
    </row>
    <row r="1814" spans="28:28" x14ac:dyDescent="0.25">
      <c r="AB1814" s="428"/>
    </row>
    <row r="1815" spans="28:28" x14ac:dyDescent="0.25">
      <c r="AB1815" s="428"/>
    </row>
    <row r="1816" spans="28:28" x14ac:dyDescent="0.25">
      <c r="AB1816" s="428"/>
    </row>
    <row r="1817" spans="28:28" x14ac:dyDescent="0.25">
      <c r="AB1817" s="428"/>
    </row>
    <row r="1818" spans="28:28" x14ac:dyDescent="0.25">
      <c r="AB1818" s="428"/>
    </row>
    <row r="1819" spans="28:28" x14ac:dyDescent="0.25">
      <c r="AB1819" s="428"/>
    </row>
    <row r="1820" spans="28:28" x14ac:dyDescent="0.25">
      <c r="AB1820" s="428"/>
    </row>
    <row r="1821" spans="28:28" x14ac:dyDescent="0.25">
      <c r="AB1821" s="428"/>
    </row>
    <row r="1822" spans="28:28" x14ac:dyDescent="0.25">
      <c r="AB1822" s="428"/>
    </row>
    <row r="1823" spans="28:28" x14ac:dyDescent="0.25">
      <c r="AB1823" s="428"/>
    </row>
    <row r="1824" spans="28:28" x14ac:dyDescent="0.25">
      <c r="AB1824" s="428"/>
    </row>
    <row r="1825" spans="28:28" x14ac:dyDescent="0.25">
      <c r="AB1825" s="428"/>
    </row>
    <row r="1826" spans="28:28" x14ac:dyDescent="0.25">
      <c r="AB1826" s="428"/>
    </row>
    <row r="1827" spans="28:28" x14ac:dyDescent="0.25">
      <c r="AB1827" s="428"/>
    </row>
    <row r="1828" spans="28:28" x14ac:dyDescent="0.25">
      <c r="AB1828" s="428"/>
    </row>
    <row r="1829" spans="28:28" x14ac:dyDescent="0.25">
      <c r="AB1829" s="428"/>
    </row>
    <row r="1830" spans="28:28" x14ac:dyDescent="0.25">
      <c r="AB1830" s="428"/>
    </row>
    <row r="1831" spans="28:28" x14ac:dyDescent="0.25">
      <c r="AB1831" s="428"/>
    </row>
    <row r="1832" spans="28:28" x14ac:dyDescent="0.25">
      <c r="AB1832" s="428"/>
    </row>
    <row r="1833" spans="28:28" x14ac:dyDescent="0.25">
      <c r="AB1833" s="428"/>
    </row>
    <row r="1834" spans="28:28" x14ac:dyDescent="0.25">
      <c r="AB1834" s="428"/>
    </row>
    <row r="1835" spans="28:28" x14ac:dyDescent="0.25">
      <c r="AB1835" s="428"/>
    </row>
    <row r="1836" spans="28:28" x14ac:dyDescent="0.25">
      <c r="AB1836" s="428"/>
    </row>
    <row r="1837" spans="28:28" x14ac:dyDescent="0.25">
      <c r="AB1837" s="428"/>
    </row>
    <row r="1838" spans="28:28" x14ac:dyDescent="0.25">
      <c r="AB1838" s="428"/>
    </row>
    <row r="1839" spans="28:28" x14ac:dyDescent="0.25">
      <c r="AB1839" s="428"/>
    </row>
    <row r="1840" spans="28:28" x14ac:dyDescent="0.25">
      <c r="AB1840" s="428"/>
    </row>
    <row r="1841" spans="28:28" x14ac:dyDescent="0.25">
      <c r="AB1841" s="428"/>
    </row>
    <row r="1842" spans="28:28" x14ac:dyDescent="0.25">
      <c r="AB1842" s="428"/>
    </row>
    <row r="1843" spans="28:28" x14ac:dyDescent="0.25">
      <c r="AB1843" s="428"/>
    </row>
    <row r="1844" spans="28:28" x14ac:dyDescent="0.25">
      <c r="AB1844" s="428"/>
    </row>
    <row r="1845" spans="28:28" x14ac:dyDescent="0.25">
      <c r="AB1845" s="428"/>
    </row>
    <row r="1846" spans="28:28" x14ac:dyDescent="0.25">
      <c r="AB1846" s="428"/>
    </row>
    <row r="1847" spans="28:28" x14ac:dyDescent="0.25">
      <c r="AB1847" s="428"/>
    </row>
    <row r="1848" spans="28:28" x14ac:dyDescent="0.25">
      <c r="AB1848" s="428"/>
    </row>
    <row r="1849" spans="28:28" x14ac:dyDescent="0.25">
      <c r="AB1849" s="428"/>
    </row>
    <row r="1850" spans="28:28" x14ac:dyDescent="0.25">
      <c r="AB1850" s="428"/>
    </row>
    <row r="1851" spans="28:28" x14ac:dyDescent="0.25">
      <c r="AB1851" s="428"/>
    </row>
    <row r="1852" spans="28:28" x14ac:dyDescent="0.25">
      <c r="AB1852" s="428"/>
    </row>
    <row r="1853" spans="28:28" x14ac:dyDescent="0.25">
      <c r="AB1853" s="428"/>
    </row>
    <row r="1854" spans="28:28" x14ac:dyDescent="0.25">
      <c r="AB1854" s="428"/>
    </row>
    <row r="1855" spans="28:28" x14ac:dyDescent="0.25">
      <c r="AB1855" s="428"/>
    </row>
    <row r="1856" spans="28:28" x14ac:dyDescent="0.25">
      <c r="AB1856" s="428"/>
    </row>
    <row r="1857" spans="28:28" x14ac:dyDescent="0.25">
      <c r="AB1857" s="428"/>
    </row>
    <row r="1858" spans="28:28" x14ac:dyDescent="0.25">
      <c r="AB1858" s="428"/>
    </row>
    <row r="1859" spans="28:28" x14ac:dyDescent="0.25">
      <c r="AB1859" s="428"/>
    </row>
    <row r="1860" spans="28:28" x14ac:dyDescent="0.25">
      <c r="AB1860" s="428"/>
    </row>
    <row r="1861" spans="28:28" x14ac:dyDescent="0.25">
      <c r="AB1861" s="428"/>
    </row>
    <row r="1862" spans="28:28" x14ac:dyDescent="0.25">
      <c r="AB1862" s="428"/>
    </row>
    <row r="1863" spans="28:28" x14ac:dyDescent="0.25">
      <c r="AB1863" s="428"/>
    </row>
    <row r="1864" spans="28:28" x14ac:dyDescent="0.25">
      <c r="AB1864" s="428"/>
    </row>
    <row r="1865" spans="28:28" x14ac:dyDescent="0.25">
      <c r="AB1865" s="428"/>
    </row>
    <row r="1866" spans="28:28" x14ac:dyDescent="0.25">
      <c r="AB1866" s="428"/>
    </row>
    <row r="1867" spans="28:28" x14ac:dyDescent="0.25">
      <c r="AB1867" s="428"/>
    </row>
    <row r="1868" spans="28:28" x14ac:dyDescent="0.25">
      <c r="AB1868" s="428"/>
    </row>
    <row r="1869" spans="28:28" x14ac:dyDescent="0.25">
      <c r="AB1869" s="428"/>
    </row>
    <row r="1870" spans="28:28" x14ac:dyDescent="0.25">
      <c r="AB1870" s="428"/>
    </row>
    <row r="1871" spans="28:28" x14ac:dyDescent="0.25">
      <c r="AB1871" s="428"/>
    </row>
    <row r="1872" spans="28:28" x14ac:dyDescent="0.25">
      <c r="AB1872" s="428"/>
    </row>
    <row r="1873" spans="28:28" x14ac:dyDescent="0.25">
      <c r="AB1873" s="428"/>
    </row>
    <row r="1874" spans="28:28" x14ac:dyDescent="0.25">
      <c r="AB1874" s="428"/>
    </row>
    <row r="1875" spans="28:28" x14ac:dyDescent="0.25">
      <c r="AB1875" s="428"/>
    </row>
    <row r="1876" spans="28:28" x14ac:dyDescent="0.25">
      <c r="AB1876" s="428"/>
    </row>
    <row r="1877" spans="28:28" x14ac:dyDescent="0.25">
      <c r="AB1877" s="428"/>
    </row>
    <row r="1878" spans="28:28" x14ac:dyDescent="0.25">
      <c r="AB1878" s="428"/>
    </row>
    <row r="1879" spans="28:28" x14ac:dyDescent="0.25">
      <c r="AB1879" s="428"/>
    </row>
    <row r="1880" spans="28:28" x14ac:dyDescent="0.25">
      <c r="AB1880" s="428"/>
    </row>
    <row r="1881" spans="28:28" x14ac:dyDescent="0.25">
      <c r="AB1881" s="428"/>
    </row>
    <row r="1882" spans="28:28" x14ac:dyDescent="0.25">
      <c r="AB1882" s="428"/>
    </row>
    <row r="1883" spans="28:28" x14ac:dyDescent="0.25">
      <c r="AB1883" s="428"/>
    </row>
    <row r="1884" spans="28:28" x14ac:dyDescent="0.25">
      <c r="AB1884" s="428"/>
    </row>
    <row r="1885" spans="28:28" x14ac:dyDescent="0.25">
      <c r="AB1885" s="428"/>
    </row>
    <row r="1886" spans="28:28" x14ac:dyDescent="0.25">
      <c r="AB1886" s="428"/>
    </row>
    <row r="1887" spans="28:28" x14ac:dyDescent="0.25">
      <c r="AB1887" s="428"/>
    </row>
    <row r="1888" spans="28:28" x14ac:dyDescent="0.25">
      <c r="AB1888" s="428"/>
    </row>
    <row r="1889" spans="28:28" x14ac:dyDescent="0.25">
      <c r="AB1889" s="428"/>
    </row>
    <row r="1890" spans="28:28" x14ac:dyDescent="0.25">
      <c r="AB1890" s="428"/>
    </row>
    <row r="1891" spans="28:28" x14ac:dyDescent="0.25">
      <c r="AB1891" s="428"/>
    </row>
    <row r="1892" spans="28:28" x14ac:dyDescent="0.25">
      <c r="AB1892" s="428"/>
    </row>
    <row r="1893" spans="28:28" x14ac:dyDescent="0.25">
      <c r="AB1893" s="428"/>
    </row>
    <row r="1894" spans="28:28" x14ac:dyDescent="0.25">
      <c r="AB1894" s="428"/>
    </row>
    <row r="1895" spans="28:28" x14ac:dyDescent="0.25">
      <c r="AB1895" s="428"/>
    </row>
    <row r="1896" spans="28:28" x14ac:dyDescent="0.25">
      <c r="AB1896" s="428"/>
    </row>
    <row r="1897" spans="28:28" x14ac:dyDescent="0.25">
      <c r="AB1897" s="428"/>
    </row>
    <row r="1898" spans="28:28" x14ac:dyDescent="0.25">
      <c r="AB1898" s="428"/>
    </row>
    <row r="1899" spans="28:28" x14ac:dyDescent="0.25">
      <c r="AB1899" s="428"/>
    </row>
    <row r="1900" spans="28:28" x14ac:dyDescent="0.25">
      <c r="AB1900" s="428"/>
    </row>
    <row r="1901" spans="28:28" x14ac:dyDescent="0.25">
      <c r="AB1901" s="428"/>
    </row>
    <row r="1902" spans="28:28" x14ac:dyDescent="0.25">
      <c r="AB1902" s="428"/>
    </row>
    <row r="1903" spans="28:28" x14ac:dyDescent="0.25">
      <c r="AB1903" s="428"/>
    </row>
    <row r="1904" spans="28:28" x14ac:dyDescent="0.25">
      <c r="AB1904" s="428"/>
    </row>
    <row r="1905" spans="28:28" x14ac:dyDescent="0.25">
      <c r="AB1905" s="428"/>
    </row>
    <row r="1906" spans="28:28" x14ac:dyDescent="0.25">
      <c r="AB1906" s="428"/>
    </row>
    <row r="1907" spans="28:28" x14ac:dyDescent="0.25">
      <c r="AB1907" s="428"/>
    </row>
    <row r="1908" spans="28:28" x14ac:dyDescent="0.25">
      <c r="AB1908" s="428"/>
    </row>
    <row r="1909" spans="28:28" x14ac:dyDescent="0.25">
      <c r="AB1909" s="428"/>
    </row>
    <row r="1910" spans="28:28" x14ac:dyDescent="0.25">
      <c r="AB1910" s="428"/>
    </row>
    <row r="1911" spans="28:28" x14ac:dyDescent="0.25">
      <c r="AB1911" s="428"/>
    </row>
    <row r="1912" spans="28:28" x14ac:dyDescent="0.25">
      <c r="AB1912" s="428"/>
    </row>
    <row r="1913" spans="28:28" x14ac:dyDescent="0.25">
      <c r="AB1913" s="428"/>
    </row>
    <row r="1914" spans="28:28" x14ac:dyDescent="0.25">
      <c r="AB1914" s="428"/>
    </row>
    <row r="1915" spans="28:28" x14ac:dyDescent="0.25">
      <c r="AB1915" s="428"/>
    </row>
    <row r="1916" spans="28:28" x14ac:dyDescent="0.25">
      <c r="AB1916" s="428"/>
    </row>
    <row r="1917" spans="28:28" x14ac:dyDescent="0.25">
      <c r="AB1917" s="428"/>
    </row>
    <row r="1918" spans="28:28" x14ac:dyDescent="0.25">
      <c r="AB1918" s="428"/>
    </row>
    <row r="1919" spans="28:28" x14ac:dyDescent="0.25">
      <c r="AB1919" s="428"/>
    </row>
    <row r="1920" spans="28:28" x14ac:dyDescent="0.25">
      <c r="AB1920" s="428"/>
    </row>
    <row r="1921" spans="28:28" x14ac:dyDescent="0.25">
      <c r="AB1921" s="428"/>
    </row>
    <row r="1922" spans="28:28" x14ac:dyDescent="0.25">
      <c r="AB1922" s="428"/>
    </row>
    <row r="1923" spans="28:28" x14ac:dyDescent="0.25">
      <c r="AB1923" s="428"/>
    </row>
    <row r="1924" spans="28:28" x14ac:dyDescent="0.25">
      <c r="AB1924" s="428"/>
    </row>
    <row r="1925" spans="28:28" x14ac:dyDescent="0.25">
      <c r="AB1925" s="428"/>
    </row>
    <row r="1926" spans="28:28" x14ac:dyDescent="0.25">
      <c r="AB1926" s="428"/>
    </row>
    <row r="1927" spans="28:28" x14ac:dyDescent="0.25">
      <c r="AB1927" s="428"/>
    </row>
    <row r="1928" spans="28:28" x14ac:dyDescent="0.25">
      <c r="AB1928" s="428"/>
    </row>
    <row r="1929" spans="28:28" x14ac:dyDescent="0.25">
      <c r="AB1929" s="428"/>
    </row>
    <row r="1930" spans="28:28" x14ac:dyDescent="0.25">
      <c r="AB1930" s="428"/>
    </row>
    <row r="1931" spans="28:28" x14ac:dyDescent="0.25">
      <c r="AB1931" s="428"/>
    </row>
    <row r="1932" spans="28:28" x14ac:dyDescent="0.25">
      <c r="AB1932" s="428"/>
    </row>
    <row r="1933" spans="28:28" x14ac:dyDescent="0.25">
      <c r="AB1933" s="428"/>
    </row>
    <row r="1934" spans="28:28" x14ac:dyDescent="0.25">
      <c r="AB1934" s="428"/>
    </row>
    <row r="1935" spans="28:28" x14ac:dyDescent="0.25">
      <c r="AB1935" s="428"/>
    </row>
    <row r="1936" spans="28:28" x14ac:dyDescent="0.25">
      <c r="AB1936" s="428"/>
    </row>
    <row r="1937" spans="28:28" x14ac:dyDescent="0.25">
      <c r="AB1937" s="428"/>
    </row>
    <row r="1938" spans="28:28" x14ac:dyDescent="0.25">
      <c r="AB1938" s="428"/>
    </row>
    <row r="1939" spans="28:28" x14ac:dyDescent="0.25">
      <c r="AB1939" s="428"/>
    </row>
    <row r="1940" spans="28:28" x14ac:dyDescent="0.25">
      <c r="AB1940" s="428"/>
    </row>
    <row r="1941" spans="28:28" x14ac:dyDescent="0.25">
      <c r="AB1941" s="428"/>
    </row>
    <row r="1942" spans="28:28" x14ac:dyDescent="0.25">
      <c r="AB1942" s="428"/>
    </row>
    <row r="1943" spans="28:28" x14ac:dyDescent="0.25">
      <c r="AB1943" s="428"/>
    </row>
    <row r="1944" spans="28:28" x14ac:dyDescent="0.25">
      <c r="AB1944" s="428"/>
    </row>
    <row r="1945" spans="28:28" x14ac:dyDescent="0.25">
      <c r="AB1945" s="428"/>
    </row>
    <row r="1946" spans="28:28" x14ac:dyDescent="0.25">
      <c r="AB1946" s="428"/>
    </row>
    <row r="1947" spans="28:28" x14ac:dyDescent="0.25">
      <c r="AB1947" s="428"/>
    </row>
    <row r="1948" spans="28:28" x14ac:dyDescent="0.25">
      <c r="AB1948" s="428"/>
    </row>
    <row r="1949" spans="28:28" x14ac:dyDescent="0.25">
      <c r="AB1949" s="428"/>
    </row>
    <row r="1950" spans="28:28" x14ac:dyDescent="0.25">
      <c r="AB1950" s="428"/>
    </row>
    <row r="1951" spans="28:28" x14ac:dyDescent="0.25">
      <c r="AB1951" s="428"/>
    </row>
    <row r="1952" spans="28:28" x14ac:dyDescent="0.25">
      <c r="AB1952" s="428"/>
    </row>
    <row r="1953" spans="28:28" x14ac:dyDescent="0.25">
      <c r="AB1953" s="428"/>
    </row>
    <row r="1954" spans="28:28" x14ac:dyDescent="0.25">
      <c r="AB1954" s="428"/>
    </row>
    <row r="1955" spans="28:28" x14ac:dyDescent="0.25">
      <c r="AB1955" s="428"/>
    </row>
    <row r="1956" spans="28:28" x14ac:dyDescent="0.25">
      <c r="AB1956" s="428"/>
    </row>
    <row r="1957" spans="28:28" x14ac:dyDescent="0.25">
      <c r="AB1957" s="428"/>
    </row>
    <row r="1958" spans="28:28" x14ac:dyDescent="0.25">
      <c r="AB1958" s="428"/>
    </row>
    <row r="1959" spans="28:28" x14ac:dyDescent="0.25">
      <c r="AB1959" s="428"/>
    </row>
    <row r="1960" spans="28:28" x14ac:dyDescent="0.25">
      <c r="AB1960" s="428"/>
    </row>
    <row r="1961" spans="28:28" x14ac:dyDescent="0.25">
      <c r="AB1961" s="428"/>
    </row>
    <row r="1962" spans="28:28" x14ac:dyDescent="0.25">
      <c r="AB1962" s="428"/>
    </row>
    <row r="1963" spans="28:28" x14ac:dyDescent="0.25">
      <c r="AB1963" s="428"/>
    </row>
    <row r="1964" spans="28:28" x14ac:dyDescent="0.25">
      <c r="AB1964" s="428"/>
    </row>
    <row r="1965" spans="28:28" x14ac:dyDescent="0.25">
      <c r="AB1965" s="428"/>
    </row>
    <row r="1966" spans="28:28" x14ac:dyDescent="0.25">
      <c r="AB1966" s="428"/>
    </row>
    <row r="1967" spans="28:28" x14ac:dyDescent="0.25">
      <c r="AB1967" s="428"/>
    </row>
    <row r="1968" spans="28:28" x14ac:dyDescent="0.25">
      <c r="AB1968" s="428"/>
    </row>
    <row r="1969" spans="28:28" x14ac:dyDescent="0.25">
      <c r="AB1969" s="428"/>
    </row>
    <row r="1970" spans="28:28" x14ac:dyDescent="0.25">
      <c r="AB1970" s="428"/>
    </row>
    <row r="1971" spans="28:28" x14ac:dyDescent="0.25">
      <c r="AB1971" s="428"/>
    </row>
    <row r="1972" spans="28:28" x14ac:dyDescent="0.25">
      <c r="AB1972" s="428"/>
    </row>
    <row r="1973" spans="28:28" x14ac:dyDescent="0.25">
      <c r="AB1973" s="428"/>
    </row>
    <row r="1974" spans="28:28" x14ac:dyDescent="0.25">
      <c r="AB1974" s="428"/>
    </row>
    <row r="1975" spans="28:28" x14ac:dyDescent="0.25">
      <c r="AB1975" s="428"/>
    </row>
    <row r="1976" spans="28:28" x14ac:dyDescent="0.25">
      <c r="AB1976" s="428"/>
    </row>
    <row r="1977" spans="28:28" x14ac:dyDescent="0.25">
      <c r="AB1977" s="428"/>
    </row>
    <row r="1978" spans="28:28" x14ac:dyDescent="0.25">
      <c r="AB1978" s="428"/>
    </row>
    <row r="1979" spans="28:28" x14ac:dyDescent="0.25">
      <c r="AB1979" s="428"/>
    </row>
    <row r="1980" spans="28:28" x14ac:dyDescent="0.25">
      <c r="AB1980" s="428"/>
    </row>
    <row r="1981" spans="28:28" x14ac:dyDescent="0.25">
      <c r="AB1981" s="428"/>
    </row>
    <row r="1982" spans="28:28" x14ac:dyDescent="0.25">
      <c r="AB1982" s="428"/>
    </row>
    <row r="1983" spans="28:28" x14ac:dyDescent="0.25">
      <c r="AB1983" s="428"/>
    </row>
    <row r="1984" spans="28:28" x14ac:dyDescent="0.25">
      <c r="AB1984" s="428"/>
    </row>
    <row r="1985" spans="28:28" x14ac:dyDescent="0.25">
      <c r="AB1985" s="428"/>
    </row>
    <row r="1986" spans="28:28" x14ac:dyDescent="0.25">
      <c r="AB1986" s="428"/>
    </row>
    <row r="1987" spans="28:28" x14ac:dyDescent="0.25">
      <c r="AB1987" s="428"/>
    </row>
    <row r="1988" spans="28:28" x14ac:dyDescent="0.25">
      <c r="AB1988" s="428"/>
    </row>
    <row r="1989" spans="28:28" x14ac:dyDescent="0.25">
      <c r="AB1989" s="428"/>
    </row>
    <row r="1990" spans="28:28" x14ac:dyDescent="0.25">
      <c r="AB1990" s="428"/>
    </row>
    <row r="1991" spans="28:28" x14ac:dyDescent="0.25">
      <c r="AB1991" s="428"/>
    </row>
    <row r="1992" spans="28:28" x14ac:dyDescent="0.25">
      <c r="AB1992" s="428"/>
    </row>
    <row r="1993" spans="28:28" x14ac:dyDescent="0.25">
      <c r="AB1993" s="428"/>
    </row>
    <row r="1994" spans="28:28" x14ac:dyDescent="0.25">
      <c r="AB1994" s="428"/>
    </row>
    <row r="1995" spans="28:28" x14ac:dyDescent="0.25">
      <c r="AB1995" s="428"/>
    </row>
    <row r="1996" spans="28:28" x14ac:dyDescent="0.25">
      <c r="AB1996" s="428"/>
    </row>
    <row r="1997" spans="28:28" x14ac:dyDescent="0.25">
      <c r="AB1997" s="428"/>
    </row>
    <row r="1998" spans="28:28" x14ac:dyDescent="0.25">
      <c r="AB1998" s="428"/>
    </row>
    <row r="1999" spans="28:28" x14ac:dyDescent="0.25">
      <c r="AB1999" s="428"/>
    </row>
    <row r="2000" spans="28:28" x14ac:dyDescent="0.25">
      <c r="AB2000" s="428"/>
    </row>
    <row r="2001" spans="28:28" x14ac:dyDescent="0.25">
      <c r="AB2001" s="428"/>
    </row>
    <row r="2002" spans="28:28" x14ac:dyDescent="0.25">
      <c r="AB2002" s="428"/>
    </row>
    <row r="2003" spans="28:28" x14ac:dyDescent="0.25">
      <c r="AB2003" s="428"/>
    </row>
    <row r="2004" spans="28:28" x14ac:dyDescent="0.25">
      <c r="AB2004" s="428"/>
    </row>
    <row r="2005" spans="28:28" x14ac:dyDescent="0.25">
      <c r="AB2005" s="428"/>
    </row>
    <row r="2006" spans="28:28" x14ac:dyDescent="0.25">
      <c r="AB2006" s="428"/>
    </row>
    <row r="2007" spans="28:28" x14ac:dyDescent="0.25">
      <c r="AB2007" s="428"/>
    </row>
    <row r="2008" spans="28:28" x14ac:dyDescent="0.25">
      <c r="AB2008" s="428"/>
    </row>
    <row r="2009" spans="28:28" x14ac:dyDescent="0.25">
      <c r="AB2009" s="428"/>
    </row>
    <row r="2010" spans="28:28" x14ac:dyDescent="0.25">
      <c r="AB2010" s="428"/>
    </row>
    <row r="2011" spans="28:28" x14ac:dyDescent="0.25">
      <c r="AB2011" s="428"/>
    </row>
    <row r="2012" spans="28:28" x14ac:dyDescent="0.25">
      <c r="AB2012" s="428"/>
    </row>
    <row r="2013" spans="28:28" x14ac:dyDescent="0.25">
      <c r="AB2013" s="428"/>
    </row>
    <row r="2014" spans="28:28" x14ac:dyDescent="0.25">
      <c r="AB2014" s="428"/>
    </row>
    <row r="2015" spans="28:28" x14ac:dyDescent="0.25">
      <c r="AB2015" s="428"/>
    </row>
    <row r="2016" spans="28:28" x14ac:dyDescent="0.25">
      <c r="AB2016" s="428"/>
    </row>
    <row r="2017" spans="28:28" x14ac:dyDescent="0.25">
      <c r="AB2017" s="428"/>
    </row>
    <row r="2018" spans="28:28" x14ac:dyDescent="0.25">
      <c r="AB2018" s="428"/>
    </row>
    <row r="2019" spans="28:28" x14ac:dyDescent="0.25">
      <c r="AB2019" s="428"/>
    </row>
    <row r="2020" spans="28:28" x14ac:dyDescent="0.25">
      <c r="AB2020" s="428"/>
    </row>
    <row r="2021" spans="28:28" x14ac:dyDescent="0.25">
      <c r="AB2021" s="428"/>
    </row>
    <row r="2022" spans="28:28" x14ac:dyDescent="0.25">
      <c r="AB2022" s="428"/>
    </row>
    <row r="2023" spans="28:28" x14ac:dyDescent="0.25">
      <c r="AB2023" s="428"/>
    </row>
    <row r="2024" spans="28:28" x14ac:dyDescent="0.25">
      <c r="AB2024" s="428"/>
    </row>
    <row r="2025" spans="28:28" x14ac:dyDescent="0.25">
      <c r="AB2025" s="428"/>
    </row>
    <row r="2026" spans="28:28" x14ac:dyDescent="0.25">
      <c r="AB2026" s="428"/>
    </row>
    <row r="2027" spans="28:28" x14ac:dyDescent="0.25">
      <c r="AB2027" s="428"/>
    </row>
    <row r="2028" spans="28:28" x14ac:dyDescent="0.25">
      <c r="AB2028" s="428"/>
    </row>
    <row r="2029" spans="28:28" x14ac:dyDescent="0.25">
      <c r="AB2029" s="428"/>
    </row>
    <row r="2030" spans="28:28" x14ac:dyDescent="0.25">
      <c r="AB2030" s="428"/>
    </row>
    <row r="2031" spans="28:28" x14ac:dyDescent="0.25">
      <c r="AB2031" s="428"/>
    </row>
    <row r="2032" spans="28:28" x14ac:dyDescent="0.25">
      <c r="AB2032" s="428"/>
    </row>
    <row r="2033" spans="28:28" x14ac:dyDescent="0.25">
      <c r="AB2033" s="428"/>
    </row>
    <row r="2034" spans="28:28" x14ac:dyDescent="0.25">
      <c r="AB2034" s="428"/>
    </row>
    <row r="2035" spans="28:28" x14ac:dyDescent="0.25">
      <c r="AB2035" s="428"/>
    </row>
    <row r="2036" spans="28:28" x14ac:dyDescent="0.25">
      <c r="AB2036" s="428"/>
    </row>
    <row r="2037" spans="28:28" x14ac:dyDescent="0.25">
      <c r="AB2037" s="428"/>
    </row>
    <row r="2038" spans="28:28" x14ac:dyDescent="0.25">
      <c r="AB2038" s="428"/>
    </row>
    <row r="2039" spans="28:28" x14ac:dyDescent="0.25">
      <c r="AB2039" s="428"/>
    </row>
    <row r="2040" spans="28:28" x14ac:dyDescent="0.25">
      <c r="AB2040" s="428"/>
    </row>
    <row r="2041" spans="28:28" x14ac:dyDescent="0.25">
      <c r="AB2041" s="428"/>
    </row>
    <row r="2042" spans="28:28" x14ac:dyDescent="0.25">
      <c r="AB2042" s="428"/>
    </row>
    <row r="2043" spans="28:28" x14ac:dyDescent="0.25">
      <c r="AB2043" s="428"/>
    </row>
    <row r="2044" spans="28:28" x14ac:dyDescent="0.25">
      <c r="AB2044" s="428"/>
    </row>
    <row r="2045" spans="28:28" x14ac:dyDescent="0.25">
      <c r="AB2045" s="428"/>
    </row>
    <row r="2046" spans="28:28" x14ac:dyDescent="0.25">
      <c r="AB2046" s="428"/>
    </row>
    <row r="2047" spans="28:28" x14ac:dyDescent="0.25">
      <c r="AB2047" s="428"/>
    </row>
    <row r="2048" spans="28:28" x14ac:dyDescent="0.25">
      <c r="AB2048" s="428"/>
    </row>
    <row r="2049" spans="28:28" x14ac:dyDescent="0.25">
      <c r="AB2049" s="428"/>
    </row>
    <row r="2050" spans="28:28" x14ac:dyDescent="0.25">
      <c r="AB2050" s="428"/>
    </row>
    <row r="2051" spans="28:28" x14ac:dyDescent="0.25">
      <c r="AB2051" s="428"/>
    </row>
    <row r="2052" spans="28:28" x14ac:dyDescent="0.25">
      <c r="AB2052" s="428"/>
    </row>
    <row r="2053" spans="28:28" x14ac:dyDescent="0.25">
      <c r="AB2053" s="428"/>
    </row>
    <row r="2054" spans="28:28" x14ac:dyDescent="0.25">
      <c r="AB2054" s="428"/>
    </row>
    <row r="2055" spans="28:28" x14ac:dyDescent="0.25">
      <c r="AB2055" s="428"/>
    </row>
    <row r="2056" spans="28:28" x14ac:dyDescent="0.25">
      <c r="AB2056" s="428"/>
    </row>
    <row r="2057" spans="28:28" x14ac:dyDescent="0.25">
      <c r="AB2057" s="428"/>
    </row>
    <row r="2058" spans="28:28" x14ac:dyDescent="0.25">
      <c r="AB2058" s="428"/>
    </row>
    <row r="2059" spans="28:28" x14ac:dyDescent="0.25">
      <c r="AB2059" s="428"/>
    </row>
    <row r="2060" spans="28:28" x14ac:dyDescent="0.25">
      <c r="AB2060" s="428"/>
    </row>
    <row r="2061" spans="28:28" x14ac:dyDescent="0.25">
      <c r="AB2061" s="428"/>
    </row>
    <row r="2062" spans="28:28" x14ac:dyDescent="0.25">
      <c r="AB2062" s="428"/>
    </row>
    <row r="2063" spans="28:28" x14ac:dyDescent="0.25">
      <c r="AB2063" s="428"/>
    </row>
    <row r="2064" spans="28:28" x14ac:dyDescent="0.25">
      <c r="AB2064" s="428"/>
    </row>
    <row r="2065" spans="28:28" x14ac:dyDescent="0.25">
      <c r="AB2065" s="428"/>
    </row>
    <row r="2066" spans="28:28" x14ac:dyDescent="0.25">
      <c r="AB2066" s="428"/>
    </row>
    <row r="2067" spans="28:28" x14ac:dyDescent="0.25">
      <c r="AB2067" s="428"/>
    </row>
    <row r="2068" spans="28:28" x14ac:dyDescent="0.25">
      <c r="AB2068" s="428"/>
    </row>
    <row r="2069" spans="28:28" x14ac:dyDescent="0.25">
      <c r="AB2069" s="428"/>
    </row>
    <row r="2070" spans="28:28" x14ac:dyDescent="0.25">
      <c r="AB2070" s="428"/>
    </row>
    <row r="2071" spans="28:28" x14ac:dyDescent="0.25">
      <c r="AB2071" s="428"/>
    </row>
    <row r="2072" spans="28:28" x14ac:dyDescent="0.25">
      <c r="AB2072" s="428"/>
    </row>
    <row r="2073" spans="28:28" x14ac:dyDescent="0.25">
      <c r="AB2073" s="428"/>
    </row>
    <row r="2074" spans="28:28" x14ac:dyDescent="0.25">
      <c r="AB2074" s="428"/>
    </row>
    <row r="2075" spans="28:28" x14ac:dyDescent="0.25">
      <c r="AB2075" s="428"/>
    </row>
    <row r="2076" spans="28:28" x14ac:dyDescent="0.25">
      <c r="AB2076" s="428"/>
    </row>
    <row r="2077" spans="28:28" x14ac:dyDescent="0.25">
      <c r="AB2077" s="428"/>
    </row>
    <row r="2078" spans="28:28" x14ac:dyDescent="0.25">
      <c r="AB2078" s="428"/>
    </row>
    <row r="2079" spans="28:28" x14ac:dyDescent="0.25">
      <c r="AB2079" s="428"/>
    </row>
    <row r="2080" spans="28:28" x14ac:dyDescent="0.25">
      <c r="AB2080" s="428"/>
    </row>
    <row r="2081" spans="28:28" x14ac:dyDescent="0.25">
      <c r="AB2081" s="428"/>
    </row>
    <row r="2082" spans="28:28" x14ac:dyDescent="0.25">
      <c r="AB2082" s="428"/>
    </row>
    <row r="2083" spans="28:28" x14ac:dyDescent="0.25">
      <c r="AB2083" s="428"/>
    </row>
    <row r="2084" spans="28:28" x14ac:dyDescent="0.25">
      <c r="AB2084" s="428"/>
    </row>
    <row r="2085" spans="28:28" x14ac:dyDescent="0.25">
      <c r="AB2085" s="428"/>
    </row>
    <row r="2086" spans="28:28" x14ac:dyDescent="0.25">
      <c r="AB2086" s="428"/>
    </row>
    <row r="2087" spans="28:28" x14ac:dyDescent="0.25">
      <c r="AB2087" s="428"/>
    </row>
    <row r="2088" spans="28:28" x14ac:dyDescent="0.25">
      <c r="AB2088" s="428"/>
    </row>
    <row r="2089" spans="28:28" x14ac:dyDescent="0.25">
      <c r="AB2089" s="428"/>
    </row>
    <row r="2090" spans="28:28" x14ac:dyDescent="0.25">
      <c r="AB2090" s="428"/>
    </row>
    <row r="2091" spans="28:28" x14ac:dyDescent="0.25">
      <c r="AB2091" s="428"/>
    </row>
    <row r="2092" spans="28:28" x14ac:dyDescent="0.25">
      <c r="AB2092" s="428"/>
    </row>
    <row r="2093" spans="28:28" x14ac:dyDescent="0.25">
      <c r="AB2093" s="428"/>
    </row>
    <row r="2094" spans="28:28" x14ac:dyDescent="0.25">
      <c r="AB2094" s="428"/>
    </row>
    <row r="2095" spans="28:28" x14ac:dyDescent="0.25">
      <c r="AB2095" s="428"/>
    </row>
    <row r="2096" spans="28:28" x14ac:dyDescent="0.25">
      <c r="AB2096" s="428"/>
    </row>
    <row r="2097" spans="28:28" x14ac:dyDescent="0.25">
      <c r="AB2097" s="428"/>
    </row>
    <row r="2098" spans="28:28" x14ac:dyDescent="0.25">
      <c r="AB2098" s="428"/>
    </row>
    <row r="2099" spans="28:28" x14ac:dyDescent="0.25">
      <c r="AB2099" s="428"/>
    </row>
    <row r="2100" spans="28:28" x14ac:dyDescent="0.25">
      <c r="AB2100" s="428"/>
    </row>
    <row r="2101" spans="28:28" x14ac:dyDescent="0.25">
      <c r="AB2101" s="428"/>
    </row>
    <row r="2102" spans="28:28" x14ac:dyDescent="0.25">
      <c r="AB2102" s="428"/>
    </row>
    <row r="2103" spans="28:28" x14ac:dyDescent="0.25">
      <c r="AB2103" s="428"/>
    </row>
    <row r="2104" spans="28:28" x14ac:dyDescent="0.25">
      <c r="AB2104" s="428"/>
    </row>
    <row r="2105" spans="28:28" x14ac:dyDescent="0.25">
      <c r="AB2105" s="428"/>
    </row>
    <row r="2106" spans="28:28" x14ac:dyDescent="0.25">
      <c r="AB2106" s="428"/>
    </row>
    <row r="2107" spans="28:28" x14ac:dyDescent="0.25">
      <c r="AB2107" s="428"/>
    </row>
    <row r="2108" spans="28:28" x14ac:dyDescent="0.25">
      <c r="AB2108" s="428"/>
    </row>
    <row r="2109" spans="28:28" x14ac:dyDescent="0.25">
      <c r="AB2109" s="428"/>
    </row>
    <row r="2110" spans="28:28" x14ac:dyDescent="0.25">
      <c r="AB2110" s="428"/>
    </row>
    <row r="2111" spans="28:28" x14ac:dyDescent="0.25">
      <c r="AB2111" s="428"/>
    </row>
    <row r="2112" spans="28:28" x14ac:dyDescent="0.25">
      <c r="AB2112" s="428"/>
    </row>
    <row r="2113" spans="28:28" x14ac:dyDescent="0.25">
      <c r="AB2113" s="428"/>
    </row>
    <row r="2114" spans="28:28" x14ac:dyDescent="0.25">
      <c r="AB2114" s="428"/>
    </row>
    <row r="2115" spans="28:28" x14ac:dyDescent="0.25">
      <c r="AB2115" s="428"/>
    </row>
    <row r="2116" spans="28:28" x14ac:dyDescent="0.25">
      <c r="AB2116" s="428"/>
    </row>
    <row r="2117" spans="28:28" x14ac:dyDescent="0.25">
      <c r="AB2117" s="428"/>
    </row>
    <row r="2118" spans="28:28" x14ac:dyDescent="0.25">
      <c r="AB2118" s="428"/>
    </row>
    <row r="2119" spans="28:28" x14ac:dyDescent="0.25">
      <c r="AB2119" s="428"/>
    </row>
    <row r="2120" spans="28:28" x14ac:dyDescent="0.25">
      <c r="AB2120" s="428"/>
    </row>
    <row r="2121" spans="28:28" x14ac:dyDescent="0.25">
      <c r="AB2121" s="428"/>
    </row>
    <row r="2122" spans="28:28" x14ac:dyDescent="0.25">
      <c r="AB2122" s="428"/>
    </row>
    <row r="2123" spans="28:28" x14ac:dyDescent="0.25">
      <c r="AB2123" s="428"/>
    </row>
    <row r="2124" spans="28:28" x14ac:dyDescent="0.25">
      <c r="AB2124" s="428"/>
    </row>
    <row r="2125" spans="28:28" x14ac:dyDescent="0.25">
      <c r="AB2125" s="428"/>
    </row>
    <row r="2126" spans="28:28" x14ac:dyDescent="0.25">
      <c r="AB2126" s="428"/>
    </row>
    <row r="2127" spans="28:28" x14ac:dyDescent="0.25">
      <c r="AB2127" s="428"/>
    </row>
    <row r="2128" spans="28:28" x14ac:dyDescent="0.25">
      <c r="AB2128" s="428"/>
    </row>
    <row r="2129" spans="28:28" x14ac:dyDescent="0.25">
      <c r="AB2129" s="428"/>
    </row>
    <row r="2130" spans="28:28" x14ac:dyDescent="0.25">
      <c r="AB2130" s="428"/>
    </row>
    <row r="2131" spans="28:28" x14ac:dyDescent="0.25">
      <c r="AB2131" s="428"/>
    </row>
    <row r="2132" spans="28:28" x14ac:dyDescent="0.25">
      <c r="AB2132" s="428"/>
    </row>
    <row r="2133" spans="28:28" x14ac:dyDescent="0.25">
      <c r="AB2133" s="428"/>
    </row>
    <row r="2134" spans="28:28" x14ac:dyDescent="0.25">
      <c r="AB2134" s="428"/>
    </row>
    <row r="2135" spans="28:28" x14ac:dyDescent="0.25">
      <c r="AB2135" s="428"/>
    </row>
    <row r="2136" spans="28:28" x14ac:dyDescent="0.25">
      <c r="AB2136" s="428"/>
    </row>
    <row r="2137" spans="28:28" x14ac:dyDescent="0.25">
      <c r="AB2137" s="428"/>
    </row>
    <row r="2138" spans="28:28" x14ac:dyDescent="0.25">
      <c r="AB2138" s="428"/>
    </row>
    <row r="2139" spans="28:28" x14ac:dyDescent="0.25">
      <c r="AB2139" s="428"/>
    </row>
    <row r="2140" spans="28:28" x14ac:dyDescent="0.25">
      <c r="AB2140" s="428"/>
    </row>
    <row r="2141" spans="28:28" x14ac:dyDescent="0.25">
      <c r="AB2141" s="428"/>
    </row>
    <row r="2142" spans="28:28" x14ac:dyDescent="0.25">
      <c r="AB2142" s="428"/>
    </row>
    <row r="2143" spans="28:28" x14ac:dyDescent="0.25">
      <c r="AB2143" s="428"/>
    </row>
    <row r="2144" spans="28:28" x14ac:dyDescent="0.25">
      <c r="AB2144" s="428"/>
    </row>
    <row r="2145" spans="28:28" x14ac:dyDescent="0.25">
      <c r="AB2145" s="428"/>
    </row>
    <row r="2146" spans="28:28" x14ac:dyDescent="0.25">
      <c r="AB2146" s="428"/>
    </row>
    <row r="2147" spans="28:28" x14ac:dyDescent="0.25">
      <c r="AB2147" s="428"/>
    </row>
    <row r="2148" spans="28:28" x14ac:dyDescent="0.25">
      <c r="AB2148" s="428"/>
    </row>
    <row r="2149" spans="28:28" x14ac:dyDescent="0.25">
      <c r="AB2149" s="428"/>
    </row>
    <row r="2150" spans="28:28" x14ac:dyDescent="0.25">
      <c r="AB2150" s="428"/>
    </row>
    <row r="2151" spans="28:28" x14ac:dyDescent="0.25">
      <c r="AB2151" s="428"/>
    </row>
    <row r="2152" spans="28:28" x14ac:dyDescent="0.25">
      <c r="AB2152" s="428"/>
    </row>
    <row r="2153" spans="28:28" x14ac:dyDescent="0.25">
      <c r="AB2153" s="428"/>
    </row>
    <row r="2154" spans="28:28" x14ac:dyDescent="0.25">
      <c r="AB2154" s="428"/>
    </row>
    <row r="2155" spans="28:28" x14ac:dyDescent="0.25">
      <c r="AB2155" s="428"/>
    </row>
    <row r="2156" spans="28:28" x14ac:dyDescent="0.25">
      <c r="AB2156" s="428"/>
    </row>
    <row r="2157" spans="28:28" x14ac:dyDescent="0.25">
      <c r="AB2157" s="428"/>
    </row>
    <row r="2158" spans="28:28" x14ac:dyDescent="0.25">
      <c r="AB2158" s="428"/>
    </row>
    <row r="2159" spans="28:28" x14ac:dyDescent="0.25">
      <c r="AB2159" s="428"/>
    </row>
    <row r="2160" spans="28:28" x14ac:dyDescent="0.25">
      <c r="AB2160" s="428"/>
    </row>
    <row r="2161" spans="28:28" x14ac:dyDescent="0.25">
      <c r="AB2161" s="428"/>
    </row>
    <row r="2162" spans="28:28" x14ac:dyDescent="0.25">
      <c r="AB2162" s="428"/>
    </row>
    <row r="2163" spans="28:28" x14ac:dyDescent="0.25">
      <c r="AB2163" s="428"/>
    </row>
    <row r="2164" spans="28:28" x14ac:dyDescent="0.25">
      <c r="AB2164" s="428"/>
    </row>
    <row r="2165" spans="28:28" x14ac:dyDescent="0.25">
      <c r="AB2165" s="428"/>
    </row>
    <row r="2166" spans="28:28" x14ac:dyDescent="0.25">
      <c r="AB2166" s="428"/>
    </row>
    <row r="2167" spans="28:28" x14ac:dyDescent="0.25">
      <c r="AB2167" s="428"/>
    </row>
    <row r="2168" spans="28:28" x14ac:dyDescent="0.25">
      <c r="AB2168" s="428"/>
    </row>
    <row r="2169" spans="28:28" x14ac:dyDescent="0.25">
      <c r="AB2169" s="428"/>
    </row>
    <row r="2170" spans="28:28" x14ac:dyDescent="0.25">
      <c r="AB2170" s="428"/>
    </row>
    <row r="2171" spans="28:28" x14ac:dyDescent="0.25">
      <c r="AB2171" s="428"/>
    </row>
    <row r="2172" spans="28:28" x14ac:dyDescent="0.25">
      <c r="AB2172" s="428"/>
    </row>
    <row r="2173" spans="28:28" x14ac:dyDescent="0.25">
      <c r="AB2173" s="428"/>
    </row>
    <row r="2174" spans="28:28" x14ac:dyDescent="0.25">
      <c r="AB2174" s="428"/>
    </row>
    <row r="2175" spans="28:28" x14ac:dyDescent="0.25">
      <c r="AB2175" s="428"/>
    </row>
    <row r="2176" spans="28:28" x14ac:dyDescent="0.25">
      <c r="AB2176" s="428"/>
    </row>
    <row r="2177" spans="28:28" x14ac:dyDescent="0.25">
      <c r="AB2177" s="428"/>
    </row>
    <row r="2178" spans="28:28" x14ac:dyDescent="0.25">
      <c r="AB2178" s="428"/>
    </row>
    <row r="2179" spans="28:28" x14ac:dyDescent="0.25">
      <c r="AB2179" s="428"/>
    </row>
    <row r="2180" spans="28:28" x14ac:dyDescent="0.25">
      <c r="AB2180" s="428"/>
    </row>
    <row r="2181" spans="28:28" x14ac:dyDescent="0.25">
      <c r="AB2181" s="428"/>
    </row>
    <row r="2182" spans="28:28" x14ac:dyDescent="0.25">
      <c r="AB2182" s="428"/>
    </row>
    <row r="2183" spans="28:28" x14ac:dyDescent="0.25">
      <c r="AB2183" s="428"/>
    </row>
    <row r="2184" spans="28:28" x14ac:dyDescent="0.25">
      <c r="AB2184" s="428"/>
    </row>
    <row r="2185" spans="28:28" x14ac:dyDescent="0.25">
      <c r="AB2185" s="428"/>
    </row>
    <row r="2186" spans="28:28" x14ac:dyDescent="0.25">
      <c r="AB2186" s="428"/>
    </row>
    <row r="2187" spans="28:28" x14ac:dyDescent="0.25">
      <c r="AB2187" s="428"/>
    </row>
    <row r="2188" spans="28:28" x14ac:dyDescent="0.25">
      <c r="AB2188" s="428"/>
    </row>
    <row r="2189" spans="28:28" x14ac:dyDescent="0.25">
      <c r="AB2189" s="428"/>
    </row>
    <row r="2190" spans="28:28" x14ac:dyDescent="0.25">
      <c r="AB2190" s="428"/>
    </row>
    <row r="2191" spans="28:28" x14ac:dyDescent="0.25">
      <c r="AB2191" s="428"/>
    </row>
    <row r="2192" spans="28:28" x14ac:dyDescent="0.25">
      <c r="AB2192" s="428"/>
    </row>
    <row r="2193" spans="28:28" x14ac:dyDescent="0.25">
      <c r="AB2193" s="428"/>
    </row>
    <row r="2194" spans="28:28" x14ac:dyDescent="0.25">
      <c r="AB2194" s="428"/>
    </row>
    <row r="2195" spans="28:28" x14ac:dyDescent="0.25">
      <c r="AB2195" s="428"/>
    </row>
    <row r="2196" spans="28:28" x14ac:dyDescent="0.25">
      <c r="AB2196" s="428"/>
    </row>
    <row r="2197" spans="28:28" x14ac:dyDescent="0.25">
      <c r="AB2197" s="428"/>
    </row>
    <row r="2198" spans="28:28" x14ac:dyDescent="0.25">
      <c r="AB2198" s="428"/>
    </row>
    <row r="2199" spans="28:28" x14ac:dyDescent="0.25">
      <c r="AB2199" s="428"/>
    </row>
    <row r="2200" spans="28:28" x14ac:dyDescent="0.25">
      <c r="AB2200" s="428"/>
    </row>
    <row r="2201" spans="28:28" x14ac:dyDescent="0.25">
      <c r="AB2201" s="428"/>
    </row>
    <row r="2202" spans="28:28" x14ac:dyDescent="0.25">
      <c r="AB2202" s="428"/>
    </row>
    <row r="2203" spans="28:28" x14ac:dyDescent="0.25">
      <c r="AB2203" s="428"/>
    </row>
    <row r="2204" spans="28:28" x14ac:dyDescent="0.25">
      <c r="AB2204" s="428"/>
    </row>
    <row r="2205" spans="28:28" x14ac:dyDescent="0.25">
      <c r="AB2205" s="428"/>
    </row>
    <row r="2206" spans="28:28" x14ac:dyDescent="0.25">
      <c r="AB2206" s="428"/>
    </row>
    <row r="2207" spans="28:28" x14ac:dyDescent="0.25">
      <c r="AB2207" s="428"/>
    </row>
    <row r="2208" spans="28:28" x14ac:dyDescent="0.25">
      <c r="AB2208" s="428"/>
    </row>
    <row r="2209" spans="28:28" x14ac:dyDescent="0.25">
      <c r="AB2209" s="428"/>
    </row>
    <row r="2210" spans="28:28" x14ac:dyDescent="0.25">
      <c r="AB2210" s="428"/>
    </row>
    <row r="2211" spans="28:28" x14ac:dyDescent="0.25">
      <c r="AB2211" s="428"/>
    </row>
    <row r="2212" spans="28:28" x14ac:dyDescent="0.25">
      <c r="AB2212" s="428"/>
    </row>
    <row r="2213" spans="28:28" x14ac:dyDescent="0.25">
      <c r="AB2213" s="428"/>
    </row>
    <row r="2214" spans="28:28" x14ac:dyDescent="0.25">
      <c r="AB2214" s="428"/>
    </row>
    <row r="2215" spans="28:28" x14ac:dyDescent="0.25">
      <c r="AB2215" s="428"/>
    </row>
    <row r="2216" spans="28:28" x14ac:dyDescent="0.25">
      <c r="AB2216" s="428"/>
    </row>
    <row r="2217" spans="28:28" x14ac:dyDescent="0.25">
      <c r="AB2217" s="428"/>
    </row>
    <row r="2218" spans="28:28" x14ac:dyDescent="0.25">
      <c r="AB2218" s="428"/>
    </row>
    <row r="2219" spans="28:28" x14ac:dyDescent="0.25">
      <c r="AB2219" s="428"/>
    </row>
    <row r="2220" spans="28:28" x14ac:dyDescent="0.25">
      <c r="AB2220" s="428"/>
    </row>
    <row r="2221" spans="28:28" x14ac:dyDescent="0.25">
      <c r="AB2221" s="428"/>
    </row>
    <row r="2222" spans="28:28" x14ac:dyDescent="0.25">
      <c r="AB2222" s="428"/>
    </row>
    <row r="2223" spans="28:28" x14ac:dyDescent="0.25">
      <c r="AB2223" s="428"/>
    </row>
    <row r="2224" spans="28:28" x14ac:dyDescent="0.25">
      <c r="AB2224" s="428"/>
    </row>
    <row r="2225" spans="28:28" x14ac:dyDescent="0.25">
      <c r="AB2225" s="428"/>
    </row>
    <row r="2226" spans="28:28" x14ac:dyDescent="0.25">
      <c r="AB2226" s="428"/>
    </row>
    <row r="2227" spans="28:28" x14ac:dyDescent="0.25">
      <c r="AB2227" s="428"/>
    </row>
    <row r="2228" spans="28:28" x14ac:dyDescent="0.25">
      <c r="AB2228" s="428"/>
    </row>
    <row r="2229" spans="28:28" x14ac:dyDescent="0.25">
      <c r="AB2229" s="428"/>
    </row>
    <row r="2230" spans="28:28" x14ac:dyDescent="0.25">
      <c r="AB2230" s="428"/>
    </row>
    <row r="2231" spans="28:28" x14ac:dyDescent="0.25">
      <c r="AB2231" s="428"/>
    </row>
    <row r="2232" spans="28:28" x14ac:dyDescent="0.25">
      <c r="AB2232" s="428"/>
    </row>
    <row r="2233" spans="28:28" x14ac:dyDescent="0.25">
      <c r="AB2233" s="428"/>
    </row>
    <row r="2234" spans="28:28" x14ac:dyDescent="0.25">
      <c r="AB2234" s="428"/>
    </row>
    <row r="2235" spans="28:28" x14ac:dyDescent="0.25">
      <c r="AB2235" s="428"/>
    </row>
    <row r="2236" spans="28:28" x14ac:dyDescent="0.25">
      <c r="AB2236" s="428"/>
    </row>
    <row r="2237" spans="28:28" x14ac:dyDescent="0.25">
      <c r="AB2237" s="428"/>
    </row>
    <row r="2238" spans="28:28" x14ac:dyDescent="0.25">
      <c r="AB2238" s="428"/>
    </row>
    <row r="2239" spans="28:28" x14ac:dyDescent="0.25">
      <c r="AB2239" s="428"/>
    </row>
    <row r="2240" spans="28:28" x14ac:dyDescent="0.25">
      <c r="AB2240" s="428"/>
    </row>
    <row r="2241" spans="28:28" x14ac:dyDescent="0.25">
      <c r="AB2241" s="428"/>
    </row>
    <row r="2242" spans="28:28" x14ac:dyDescent="0.25">
      <c r="AB2242" s="428"/>
    </row>
    <row r="2243" spans="28:28" x14ac:dyDescent="0.25">
      <c r="AB2243" s="428"/>
    </row>
    <row r="2244" spans="28:28" x14ac:dyDescent="0.25">
      <c r="AB2244" s="428"/>
    </row>
    <row r="2245" spans="28:28" x14ac:dyDescent="0.25">
      <c r="AB2245" s="428"/>
    </row>
    <row r="2246" spans="28:28" x14ac:dyDescent="0.25">
      <c r="AB2246" s="428"/>
    </row>
    <row r="2247" spans="28:28" x14ac:dyDescent="0.25">
      <c r="AB2247" s="428"/>
    </row>
    <row r="2248" spans="28:28" x14ac:dyDescent="0.25">
      <c r="AB2248" s="428"/>
    </row>
    <row r="2249" spans="28:28" x14ac:dyDescent="0.25">
      <c r="AB2249" s="428"/>
    </row>
    <row r="2250" spans="28:28" x14ac:dyDescent="0.25">
      <c r="AB2250" s="428"/>
    </row>
    <row r="2251" spans="28:28" x14ac:dyDescent="0.25">
      <c r="AB2251" s="428"/>
    </row>
    <row r="2252" spans="28:28" x14ac:dyDescent="0.25">
      <c r="AB2252" s="428"/>
    </row>
    <row r="2253" spans="28:28" x14ac:dyDescent="0.25">
      <c r="AB2253" s="428"/>
    </row>
    <row r="2254" spans="28:28" x14ac:dyDescent="0.25">
      <c r="AB2254" s="428"/>
    </row>
    <row r="2255" spans="28:28" x14ac:dyDescent="0.25">
      <c r="AB2255" s="428"/>
    </row>
    <row r="2256" spans="28:28" x14ac:dyDescent="0.25">
      <c r="AB2256" s="428"/>
    </row>
    <row r="2257" spans="28:28" x14ac:dyDescent="0.25">
      <c r="AB2257" s="428"/>
    </row>
    <row r="2258" spans="28:28" x14ac:dyDescent="0.25">
      <c r="AB2258" s="428"/>
    </row>
    <row r="2259" spans="28:28" x14ac:dyDescent="0.25">
      <c r="AB2259" s="428"/>
    </row>
    <row r="2260" spans="28:28" x14ac:dyDescent="0.25">
      <c r="AB2260" s="428"/>
    </row>
    <row r="2261" spans="28:28" x14ac:dyDescent="0.25">
      <c r="AB2261" s="428"/>
    </row>
    <row r="2262" spans="28:28" x14ac:dyDescent="0.25">
      <c r="AB2262" s="428"/>
    </row>
    <row r="2263" spans="28:28" x14ac:dyDescent="0.25">
      <c r="AB2263" s="428"/>
    </row>
    <row r="2264" spans="28:28" x14ac:dyDescent="0.25">
      <c r="AB2264" s="428"/>
    </row>
    <row r="2265" spans="28:28" x14ac:dyDescent="0.25">
      <c r="AB2265" s="428"/>
    </row>
    <row r="2266" spans="28:28" x14ac:dyDescent="0.25">
      <c r="AB2266" s="428"/>
    </row>
    <row r="2267" spans="28:28" x14ac:dyDescent="0.25">
      <c r="AB2267" s="428"/>
    </row>
    <row r="2268" spans="28:28" x14ac:dyDescent="0.25">
      <c r="AB2268" s="428"/>
    </row>
    <row r="2269" spans="28:28" x14ac:dyDescent="0.25">
      <c r="AB2269" s="428"/>
    </row>
    <row r="2270" spans="28:28" x14ac:dyDescent="0.25">
      <c r="AB2270" s="428"/>
    </row>
    <row r="2271" spans="28:28" x14ac:dyDescent="0.25">
      <c r="AB2271" s="428"/>
    </row>
    <row r="2272" spans="28:28" x14ac:dyDescent="0.25">
      <c r="AB2272" s="428"/>
    </row>
    <row r="2273" spans="28:28" x14ac:dyDescent="0.25">
      <c r="AB2273" s="428"/>
    </row>
    <row r="2274" spans="28:28" x14ac:dyDescent="0.25">
      <c r="AB2274" s="428"/>
    </row>
    <row r="2275" spans="28:28" x14ac:dyDescent="0.25">
      <c r="AB2275" s="428"/>
    </row>
    <row r="2276" spans="28:28" x14ac:dyDescent="0.25">
      <c r="AB2276" s="428"/>
    </row>
    <row r="2277" spans="28:28" x14ac:dyDescent="0.25">
      <c r="AB2277" s="428"/>
    </row>
    <row r="2278" spans="28:28" x14ac:dyDescent="0.25">
      <c r="AB2278" s="428"/>
    </row>
    <row r="2279" spans="28:28" x14ac:dyDescent="0.25">
      <c r="AB2279" s="428"/>
    </row>
    <row r="2280" spans="28:28" x14ac:dyDescent="0.25">
      <c r="AB2280" s="428"/>
    </row>
    <row r="2281" spans="28:28" x14ac:dyDescent="0.25">
      <c r="AB2281" s="428"/>
    </row>
    <row r="2282" spans="28:28" x14ac:dyDescent="0.25">
      <c r="AB2282" s="428"/>
    </row>
    <row r="2283" spans="28:28" x14ac:dyDescent="0.25">
      <c r="AB2283" s="428"/>
    </row>
    <row r="2284" spans="28:28" x14ac:dyDescent="0.25">
      <c r="AB2284" s="428"/>
    </row>
    <row r="2285" spans="28:28" x14ac:dyDescent="0.25">
      <c r="AB2285" s="428"/>
    </row>
    <row r="2286" spans="28:28" x14ac:dyDescent="0.25">
      <c r="AB2286" s="428"/>
    </row>
    <row r="2287" spans="28:28" x14ac:dyDescent="0.25">
      <c r="AB2287" s="428"/>
    </row>
    <row r="2288" spans="28:28" x14ac:dyDescent="0.25">
      <c r="AB2288" s="428"/>
    </row>
    <row r="2289" spans="28:28" x14ac:dyDescent="0.25">
      <c r="AB2289" s="428"/>
    </row>
    <row r="2290" spans="28:28" x14ac:dyDescent="0.25">
      <c r="AB2290" s="428"/>
    </row>
    <row r="2291" spans="28:28" x14ac:dyDescent="0.25">
      <c r="AB2291" s="428"/>
    </row>
    <row r="2292" spans="28:28" x14ac:dyDescent="0.25">
      <c r="AB2292" s="428"/>
    </row>
    <row r="2293" spans="28:28" x14ac:dyDescent="0.25">
      <c r="AB2293" s="428"/>
    </row>
    <row r="2294" spans="28:28" x14ac:dyDescent="0.25">
      <c r="AB2294" s="428"/>
    </row>
    <row r="2295" spans="28:28" x14ac:dyDescent="0.25">
      <c r="AB2295" s="428"/>
    </row>
    <row r="2296" spans="28:28" x14ac:dyDescent="0.25">
      <c r="AB2296" s="428"/>
    </row>
    <row r="2297" spans="28:28" x14ac:dyDescent="0.25">
      <c r="AB2297" s="428"/>
    </row>
    <row r="2298" spans="28:28" x14ac:dyDescent="0.25">
      <c r="AB2298" s="428"/>
    </row>
    <row r="2299" spans="28:28" x14ac:dyDescent="0.25">
      <c r="AB2299" s="428"/>
    </row>
    <row r="2300" spans="28:28" x14ac:dyDescent="0.25">
      <c r="AB2300" s="428"/>
    </row>
    <row r="2301" spans="28:28" x14ac:dyDescent="0.25">
      <c r="AB2301" s="428"/>
    </row>
    <row r="2302" spans="28:28" x14ac:dyDescent="0.25">
      <c r="AB2302" s="428"/>
    </row>
    <row r="2303" spans="28:28" x14ac:dyDescent="0.25">
      <c r="AB2303" s="428"/>
    </row>
    <row r="2304" spans="28:28" x14ac:dyDescent="0.25">
      <c r="AB2304" s="428"/>
    </row>
    <row r="2305" spans="28:28" x14ac:dyDescent="0.25">
      <c r="AB2305" s="428"/>
    </row>
    <row r="2306" spans="28:28" x14ac:dyDescent="0.25">
      <c r="AB2306" s="428"/>
    </row>
    <row r="2307" spans="28:28" x14ac:dyDescent="0.25">
      <c r="AB2307" s="428"/>
    </row>
    <row r="2308" spans="28:28" x14ac:dyDescent="0.25">
      <c r="AB2308" s="428"/>
    </row>
    <row r="2309" spans="28:28" x14ac:dyDescent="0.25">
      <c r="AB2309" s="428"/>
    </row>
    <row r="2310" spans="28:28" x14ac:dyDescent="0.25">
      <c r="AB2310" s="428"/>
    </row>
    <row r="2311" spans="28:28" x14ac:dyDescent="0.25">
      <c r="AB2311" s="428"/>
    </row>
    <row r="2312" spans="28:28" x14ac:dyDescent="0.25">
      <c r="AB2312" s="428"/>
    </row>
    <row r="2313" spans="28:28" x14ac:dyDescent="0.25">
      <c r="AB2313" s="428"/>
    </row>
    <row r="2314" spans="28:28" x14ac:dyDescent="0.25">
      <c r="AB2314" s="428"/>
    </row>
    <row r="2315" spans="28:28" x14ac:dyDescent="0.25">
      <c r="AB2315" s="428"/>
    </row>
    <row r="2316" spans="28:28" x14ac:dyDescent="0.25">
      <c r="AB2316" s="428"/>
    </row>
    <row r="2317" spans="28:28" x14ac:dyDescent="0.25">
      <c r="AB2317" s="428"/>
    </row>
    <row r="2318" spans="28:28" x14ac:dyDescent="0.25">
      <c r="AB2318" s="428"/>
    </row>
    <row r="2319" spans="28:28" x14ac:dyDescent="0.25">
      <c r="AB2319" s="428"/>
    </row>
    <row r="2320" spans="28:28" x14ac:dyDescent="0.25">
      <c r="AB2320" s="428"/>
    </row>
    <row r="2321" spans="28:28" x14ac:dyDescent="0.25">
      <c r="AB2321" s="428"/>
    </row>
    <row r="2322" spans="28:28" x14ac:dyDescent="0.25">
      <c r="AB2322" s="428"/>
    </row>
    <row r="2323" spans="28:28" x14ac:dyDescent="0.25">
      <c r="AB2323" s="428"/>
    </row>
    <row r="2324" spans="28:28" x14ac:dyDescent="0.25">
      <c r="AB2324" s="428"/>
    </row>
    <row r="2325" spans="28:28" x14ac:dyDescent="0.25">
      <c r="AB2325" s="428"/>
    </row>
    <row r="2326" spans="28:28" x14ac:dyDescent="0.25">
      <c r="AB2326" s="428"/>
    </row>
    <row r="2327" spans="28:28" x14ac:dyDescent="0.25">
      <c r="AB2327" s="428"/>
    </row>
    <row r="2328" spans="28:28" x14ac:dyDescent="0.25">
      <c r="AB2328" s="428"/>
    </row>
    <row r="2329" spans="28:28" x14ac:dyDescent="0.25">
      <c r="AB2329" s="428"/>
    </row>
    <row r="2330" spans="28:28" x14ac:dyDescent="0.25">
      <c r="AB2330" s="428"/>
    </row>
    <row r="2331" spans="28:28" x14ac:dyDescent="0.25">
      <c r="AB2331" s="428"/>
    </row>
    <row r="2332" spans="28:28" x14ac:dyDescent="0.25">
      <c r="AB2332" s="428"/>
    </row>
    <row r="2333" spans="28:28" x14ac:dyDescent="0.25">
      <c r="AB2333" s="428"/>
    </row>
    <row r="2334" spans="28:28" x14ac:dyDescent="0.25">
      <c r="AB2334" s="428"/>
    </row>
    <row r="2335" spans="28:28" x14ac:dyDescent="0.25">
      <c r="AB2335" s="428"/>
    </row>
    <row r="2336" spans="28:28" x14ac:dyDescent="0.25">
      <c r="AB2336" s="428"/>
    </row>
    <row r="2337" spans="28:28" x14ac:dyDescent="0.25">
      <c r="AB2337" s="428"/>
    </row>
    <row r="2338" spans="28:28" x14ac:dyDescent="0.25">
      <c r="AB2338" s="428"/>
    </row>
    <row r="2339" spans="28:28" x14ac:dyDescent="0.25">
      <c r="AB2339" s="428"/>
    </row>
    <row r="2340" spans="28:28" x14ac:dyDescent="0.25">
      <c r="AB2340" s="428"/>
    </row>
    <row r="2341" spans="28:28" x14ac:dyDescent="0.25">
      <c r="AB2341" s="428"/>
    </row>
    <row r="2342" spans="28:28" x14ac:dyDescent="0.25">
      <c r="AB2342" s="428"/>
    </row>
    <row r="2343" spans="28:28" x14ac:dyDescent="0.25">
      <c r="AB2343" s="428"/>
    </row>
    <row r="2344" spans="28:28" x14ac:dyDescent="0.25">
      <c r="AB2344" s="428"/>
    </row>
    <row r="2345" spans="28:28" x14ac:dyDescent="0.25">
      <c r="AB2345" s="428"/>
    </row>
    <row r="2346" spans="28:28" x14ac:dyDescent="0.25">
      <c r="AB2346" s="428"/>
    </row>
    <row r="2347" spans="28:28" x14ac:dyDescent="0.25">
      <c r="AB2347" s="428"/>
    </row>
    <row r="2348" spans="28:28" x14ac:dyDescent="0.25">
      <c r="AB2348" s="428"/>
    </row>
    <row r="2349" spans="28:28" x14ac:dyDescent="0.25">
      <c r="AB2349" s="428"/>
    </row>
    <row r="2350" spans="28:28" x14ac:dyDescent="0.25">
      <c r="AB2350" s="428"/>
    </row>
    <row r="2351" spans="28:28" x14ac:dyDescent="0.25">
      <c r="AB2351" s="428"/>
    </row>
    <row r="2352" spans="28:28" x14ac:dyDescent="0.25">
      <c r="AB2352" s="428"/>
    </row>
    <row r="2353" spans="28:28" x14ac:dyDescent="0.25">
      <c r="AB2353" s="428"/>
    </row>
    <row r="2354" spans="28:28" x14ac:dyDescent="0.25">
      <c r="AB2354" s="428"/>
    </row>
    <row r="2355" spans="28:28" x14ac:dyDescent="0.25">
      <c r="AB2355" s="428"/>
    </row>
    <row r="2356" spans="28:28" x14ac:dyDescent="0.25">
      <c r="AB2356" s="428"/>
    </row>
    <row r="2357" spans="28:28" x14ac:dyDescent="0.25">
      <c r="AB2357" s="428"/>
    </row>
    <row r="2358" spans="28:28" x14ac:dyDescent="0.25">
      <c r="AB2358" s="428"/>
    </row>
    <row r="2359" spans="28:28" x14ac:dyDescent="0.25">
      <c r="AB2359" s="428"/>
    </row>
    <row r="2360" spans="28:28" x14ac:dyDescent="0.25">
      <c r="AB2360" s="428"/>
    </row>
    <row r="2361" spans="28:28" x14ac:dyDescent="0.25">
      <c r="AB2361" s="428"/>
    </row>
    <row r="2362" spans="28:28" x14ac:dyDescent="0.25">
      <c r="AB2362" s="428"/>
    </row>
    <row r="2363" spans="28:28" x14ac:dyDescent="0.25">
      <c r="AB2363" s="428"/>
    </row>
    <row r="2364" spans="28:28" x14ac:dyDescent="0.25">
      <c r="AB2364" s="428"/>
    </row>
    <row r="2365" spans="28:28" x14ac:dyDescent="0.25">
      <c r="AB2365" s="428"/>
    </row>
    <row r="2366" spans="28:28" x14ac:dyDescent="0.25">
      <c r="AB2366" s="428"/>
    </row>
    <row r="2367" spans="28:28" x14ac:dyDescent="0.25">
      <c r="AB2367" s="428"/>
    </row>
    <row r="2368" spans="28:28" x14ac:dyDescent="0.25">
      <c r="AB2368" s="428"/>
    </row>
    <row r="2369" spans="28:28" x14ac:dyDescent="0.25">
      <c r="AB2369" s="428"/>
    </row>
    <row r="2370" spans="28:28" x14ac:dyDescent="0.25">
      <c r="AB2370" s="428"/>
    </row>
    <row r="2371" spans="28:28" x14ac:dyDescent="0.25">
      <c r="AB2371" s="428"/>
    </row>
    <row r="2372" spans="28:28" x14ac:dyDescent="0.25">
      <c r="AB2372" s="428"/>
    </row>
    <row r="2373" spans="28:28" x14ac:dyDescent="0.25">
      <c r="AB2373" s="428"/>
    </row>
    <row r="2374" spans="28:28" x14ac:dyDescent="0.25">
      <c r="AB2374" s="428"/>
    </row>
    <row r="2375" spans="28:28" x14ac:dyDescent="0.25">
      <c r="AB2375" s="428"/>
    </row>
    <row r="2376" spans="28:28" x14ac:dyDescent="0.25">
      <c r="AB2376" s="428"/>
    </row>
    <row r="2377" spans="28:28" x14ac:dyDescent="0.25">
      <c r="AB2377" s="428"/>
    </row>
    <row r="2378" spans="28:28" x14ac:dyDescent="0.25">
      <c r="AB2378" s="428"/>
    </row>
    <row r="2379" spans="28:28" x14ac:dyDescent="0.25">
      <c r="AB2379" s="428"/>
    </row>
    <row r="2380" spans="28:28" x14ac:dyDescent="0.25">
      <c r="AB2380" s="428"/>
    </row>
    <row r="2381" spans="28:28" x14ac:dyDescent="0.25">
      <c r="AB2381" s="428"/>
    </row>
    <row r="2382" spans="28:28" x14ac:dyDescent="0.25">
      <c r="AB2382" s="428"/>
    </row>
    <row r="2383" spans="28:28" x14ac:dyDescent="0.25">
      <c r="AB2383" s="428"/>
    </row>
    <row r="2384" spans="28:28" x14ac:dyDescent="0.25">
      <c r="AB2384" s="428"/>
    </row>
    <row r="2385" spans="28:28" x14ac:dyDescent="0.25">
      <c r="AB2385" s="428"/>
    </row>
    <row r="2386" spans="28:28" x14ac:dyDescent="0.25">
      <c r="AB2386" s="428"/>
    </row>
    <row r="2387" spans="28:28" x14ac:dyDescent="0.25">
      <c r="AB2387" s="428"/>
    </row>
    <row r="2388" spans="28:28" x14ac:dyDescent="0.25">
      <c r="AB2388" s="428"/>
    </row>
    <row r="2389" spans="28:28" x14ac:dyDescent="0.25">
      <c r="AB2389" s="428"/>
    </row>
    <row r="2390" spans="28:28" x14ac:dyDescent="0.25">
      <c r="AB2390" s="428"/>
    </row>
    <row r="2391" spans="28:28" x14ac:dyDescent="0.25">
      <c r="AB2391" s="428"/>
    </row>
    <row r="2392" spans="28:28" x14ac:dyDescent="0.25">
      <c r="AB2392" s="428"/>
    </row>
    <row r="2393" spans="28:28" x14ac:dyDescent="0.25">
      <c r="AB2393" s="428"/>
    </row>
    <row r="2394" spans="28:28" x14ac:dyDescent="0.25">
      <c r="AB2394" s="428"/>
    </row>
    <row r="2395" spans="28:28" x14ac:dyDescent="0.25">
      <c r="AB2395" s="428"/>
    </row>
    <row r="2396" spans="28:28" x14ac:dyDescent="0.25">
      <c r="AB2396" s="428"/>
    </row>
    <row r="2397" spans="28:28" x14ac:dyDescent="0.25">
      <c r="AB2397" s="428"/>
    </row>
    <row r="2398" spans="28:28" x14ac:dyDescent="0.25">
      <c r="AB2398" s="428"/>
    </row>
    <row r="2399" spans="28:28" x14ac:dyDescent="0.25">
      <c r="AB2399" s="428"/>
    </row>
    <row r="2400" spans="28:28" x14ac:dyDescent="0.25">
      <c r="AB2400" s="428"/>
    </row>
    <row r="2401" spans="28:28" x14ac:dyDescent="0.25">
      <c r="AB2401" s="428"/>
    </row>
    <row r="2402" spans="28:28" x14ac:dyDescent="0.25">
      <c r="AB2402" s="428"/>
    </row>
    <row r="2403" spans="28:28" x14ac:dyDescent="0.25">
      <c r="AB2403" s="428"/>
    </row>
    <row r="2404" spans="28:28" x14ac:dyDescent="0.25">
      <c r="AB2404" s="428"/>
    </row>
    <row r="2405" spans="28:28" x14ac:dyDescent="0.25">
      <c r="AB2405" s="428"/>
    </row>
    <row r="2406" spans="28:28" x14ac:dyDescent="0.25">
      <c r="AB2406" s="428"/>
    </row>
    <row r="2407" spans="28:28" x14ac:dyDescent="0.25">
      <c r="AB2407" s="428"/>
    </row>
    <row r="2408" spans="28:28" x14ac:dyDescent="0.25">
      <c r="AB2408" s="428"/>
    </row>
    <row r="2409" spans="28:28" x14ac:dyDescent="0.25">
      <c r="AB2409" s="428"/>
    </row>
    <row r="2410" spans="28:28" x14ac:dyDescent="0.25">
      <c r="AB2410" s="428"/>
    </row>
    <row r="2411" spans="28:28" x14ac:dyDescent="0.25">
      <c r="AB2411" s="428"/>
    </row>
    <row r="2412" spans="28:28" x14ac:dyDescent="0.25">
      <c r="AB2412" s="428"/>
    </row>
    <row r="2413" spans="28:28" x14ac:dyDescent="0.25">
      <c r="AB2413" s="428"/>
    </row>
    <row r="2414" spans="28:28" x14ac:dyDescent="0.25">
      <c r="AB2414" s="428"/>
    </row>
    <row r="2415" spans="28:28" x14ac:dyDescent="0.25">
      <c r="AB2415" s="428"/>
    </row>
    <row r="2416" spans="28:28" x14ac:dyDescent="0.25">
      <c r="AB2416" s="428"/>
    </row>
    <row r="2417" spans="28:28" x14ac:dyDescent="0.25">
      <c r="AB2417" s="428"/>
    </row>
    <row r="2418" spans="28:28" x14ac:dyDescent="0.25">
      <c r="AB2418" s="428"/>
    </row>
    <row r="2419" spans="28:28" x14ac:dyDescent="0.25">
      <c r="AB2419" s="428"/>
    </row>
    <row r="2420" spans="28:28" x14ac:dyDescent="0.25">
      <c r="AB2420" s="428"/>
    </row>
    <row r="2421" spans="28:28" x14ac:dyDescent="0.25">
      <c r="AB2421" s="428"/>
    </row>
    <row r="2422" spans="28:28" x14ac:dyDescent="0.25">
      <c r="AB2422" s="428"/>
    </row>
    <row r="2423" spans="28:28" x14ac:dyDescent="0.25">
      <c r="AB2423" s="428"/>
    </row>
    <row r="2424" spans="28:28" x14ac:dyDescent="0.25">
      <c r="AB2424" s="428"/>
    </row>
    <row r="2425" spans="28:28" x14ac:dyDescent="0.25">
      <c r="AB2425" s="428"/>
    </row>
    <row r="2426" spans="28:28" x14ac:dyDescent="0.25">
      <c r="AB2426" s="428"/>
    </row>
    <row r="2427" spans="28:28" x14ac:dyDescent="0.25">
      <c r="AB2427" s="428"/>
    </row>
    <row r="2428" spans="28:28" x14ac:dyDescent="0.25">
      <c r="AB2428" s="428"/>
    </row>
    <row r="2429" spans="28:28" x14ac:dyDescent="0.25">
      <c r="AB2429" s="428"/>
    </row>
    <row r="2430" spans="28:28" x14ac:dyDescent="0.25">
      <c r="AB2430" s="428"/>
    </row>
    <row r="2431" spans="28:28" x14ac:dyDescent="0.25">
      <c r="AB2431" s="428"/>
    </row>
    <row r="2432" spans="28:28" x14ac:dyDescent="0.25">
      <c r="AB2432" s="428"/>
    </row>
    <row r="2433" spans="28:28" x14ac:dyDescent="0.25">
      <c r="AB2433" s="428"/>
    </row>
    <row r="2434" spans="28:28" x14ac:dyDescent="0.25">
      <c r="AB2434" s="428"/>
    </row>
    <row r="2435" spans="28:28" x14ac:dyDescent="0.25">
      <c r="AB2435" s="428"/>
    </row>
    <row r="2436" spans="28:28" x14ac:dyDescent="0.25">
      <c r="AB2436" s="428"/>
    </row>
    <row r="2437" spans="28:28" x14ac:dyDescent="0.25">
      <c r="AB2437" s="428"/>
    </row>
    <row r="2438" spans="28:28" x14ac:dyDescent="0.25">
      <c r="AB2438" s="428"/>
    </row>
    <row r="2439" spans="28:28" x14ac:dyDescent="0.25">
      <c r="AB2439" s="428"/>
    </row>
    <row r="2440" spans="28:28" x14ac:dyDescent="0.25">
      <c r="AB2440" s="428"/>
    </row>
    <row r="2441" spans="28:28" x14ac:dyDescent="0.25">
      <c r="AB2441" s="428"/>
    </row>
    <row r="2442" spans="28:28" x14ac:dyDescent="0.25">
      <c r="AB2442" s="428"/>
    </row>
    <row r="2443" spans="28:28" x14ac:dyDescent="0.25">
      <c r="AB2443" s="428"/>
    </row>
    <row r="2444" spans="28:28" x14ac:dyDescent="0.25">
      <c r="AB2444" s="428"/>
    </row>
    <row r="2445" spans="28:28" x14ac:dyDescent="0.25">
      <c r="AB2445" s="428"/>
    </row>
    <row r="2446" spans="28:28" x14ac:dyDescent="0.25">
      <c r="AB2446" s="428"/>
    </row>
    <row r="2447" spans="28:28" x14ac:dyDescent="0.25">
      <c r="AB2447" s="428"/>
    </row>
    <row r="2448" spans="28:28" x14ac:dyDescent="0.25">
      <c r="AB2448" s="428"/>
    </row>
    <row r="2449" spans="28:28" x14ac:dyDescent="0.25">
      <c r="AB2449" s="428"/>
    </row>
    <row r="2450" spans="28:28" x14ac:dyDescent="0.25">
      <c r="AB2450" s="428"/>
    </row>
    <row r="2451" spans="28:28" x14ac:dyDescent="0.25">
      <c r="AB2451" s="428"/>
    </row>
    <row r="2452" spans="28:28" x14ac:dyDescent="0.25">
      <c r="AB2452" s="428"/>
    </row>
    <row r="2453" spans="28:28" x14ac:dyDescent="0.25">
      <c r="AB2453" s="428"/>
    </row>
    <row r="2454" spans="28:28" x14ac:dyDescent="0.25">
      <c r="AB2454" s="428"/>
    </row>
    <row r="2455" spans="28:28" x14ac:dyDescent="0.25">
      <c r="AB2455" s="428"/>
    </row>
    <row r="2456" spans="28:28" x14ac:dyDescent="0.25">
      <c r="AB2456" s="428"/>
    </row>
    <row r="2457" spans="28:28" x14ac:dyDescent="0.25">
      <c r="AB2457" s="428"/>
    </row>
    <row r="2458" spans="28:28" x14ac:dyDescent="0.25">
      <c r="AB2458" s="428"/>
    </row>
    <row r="2459" spans="28:28" x14ac:dyDescent="0.25">
      <c r="AB2459" s="428"/>
    </row>
    <row r="2460" spans="28:28" x14ac:dyDescent="0.25">
      <c r="AB2460" s="428"/>
    </row>
    <row r="2461" spans="28:28" x14ac:dyDescent="0.25">
      <c r="AB2461" s="428"/>
    </row>
    <row r="2462" spans="28:28" x14ac:dyDescent="0.25">
      <c r="AB2462" s="428"/>
    </row>
    <row r="2463" spans="28:28" x14ac:dyDescent="0.25">
      <c r="AB2463" s="428"/>
    </row>
    <row r="2464" spans="28:28" x14ac:dyDescent="0.25">
      <c r="AB2464" s="428"/>
    </row>
    <row r="2465" spans="28:28" x14ac:dyDescent="0.25">
      <c r="AB2465" s="428"/>
    </row>
    <row r="2466" spans="28:28" x14ac:dyDescent="0.25">
      <c r="AB2466" s="428"/>
    </row>
    <row r="2467" spans="28:28" x14ac:dyDescent="0.25">
      <c r="AB2467" s="428"/>
    </row>
    <row r="2468" spans="28:28" x14ac:dyDescent="0.25">
      <c r="AB2468" s="428"/>
    </row>
    <row r="2469" spans="28:28" x14ac:dyDescent="0.25">
      <c r="AB2469" s="428"/>
    </row>
    <row r="2470" spans="28:28" x14ac:dyDescent="0.25">
      <c r="AB2470" s="428"/>
    </row>
    <row r="2471" spans="28:28" x14ac:dyDescent="0.25">
      <c r="AB2471" s="428"/>
    </row>
    <row r="2472" spans="28:28" x14ac:dyDescent="0.25">
      <c r="AB2472" s="428"/>
    </row>
    <row r="2473" spans="28:28" x14ac:dyDescent="0.25">
      <c r="AB2473" s="428"/>
    </row>
    <row r="2474" spans="28:28" x14ac:dyDescent="0.25">
      <c r="AB2474" s="428"/>
    </row>
    <row r="2475" spans="28:28" x14ac:dyDescent="0.25">
      <c r="AB2475" s="428"/>
    </row>
    <row r="2476" spans="28:28" x14ac:dyDescent="0.25">
      <c r="AB2476" s="428"/>
    </row>
    <row r="2477" spans="28:28" x14ac:dyDescent="0.25">
      <c r="AB2477" s="428"/>
    </row>
    <row r="2478" spans="28:28" x14ac:dyDescent="0.25">
      <c r="AB2478" s="428"/>
    </row>
    <row r="2479" spans="28:28" x14ac:dyDescent="0.25">
      <c r="AB2479" s="428"/>
    </row>
    <row r="2480" spans="28:28" x14ac:dyDescent="0.25">
      <c r="AB2480" s="428"/>
    </row>
    <row r="2481" spans="28:28" x14ac:dyDescent="0.25">
      <c r="AB2481" s="428"/>
    </row>
    <row r="2482" spans="28:28" x14ac:dyDescent="0.25">
      <c r="AB2482" s="428"/>
    </row>
    <row r="2483" spans="28:28" x14ac:dyDescent="0.25">
      <c r="AB2483" s="428"/>
    </row>
    <row r="2484" spans="28:28" x14ac:dyDescent="0.25">
      <c r="AB2484" s="428"/>
    </row>
    <row r="2485" spans="28:28" x14ac:dyDescent="0.25">
      <c r="AB2485" s="428"/>
    </row>
    <row r="2486" spans="28:28" x14ac:dyDescent="0.25">
      <c r="AB2486" s="428"/>
    </row>
    <row r="2487" spans="28:28" x14ac:dyDescent="0.25">
      <c r="AB2487" s="428"/>
    </row>
    <row r="2488" spans="28:28" x14ac:dyDescent="0.25">
      <c r="AB2488" s="428"/>
    </row>
    <row r="2489" spans="28:28" x14ac:dyDescent="0.25">
      <c r="AB2489" s="428"/>
    </row>
    <row r="2490" spans="28:28" x14ac:dyDescent="0.25">
      <c r="AB2490" s="428"/>
    </row>
    <row r="2491" spans="28:28" x14ac:dyDescent="0.25">
      <c r="AB2491" s="428"/>
    </row>
    <row r="2492" spans="28:28" x14ac:dyDescent="0.25">
      <c r="AB2492" s="428"/>
    </row>
    <row r="2493" spans="28:28" x14ac:dyDescent="0.25">
      <c r="AB2493" s="428"/>
    </row>
    <row r="2494" spans="28:28" x14ac:dyDescent="0.25">
      <c r="AB2494" s="428"/>
    </row>
    <row r="2495" spans="28:28" x14ac:dyDescent="0.25">
      <c r="AB2495" s="428"/>
    </row>
    <row r="2496" spans="28:28" x14ac:dyDescent="0.25">
      <c r="AB2496" s="428"/>
    </row>
    <row r="2497" spans="28:28" x14ac:dyDescent="0.25">
      <c r="AB2497" s="428"/>
    </row>
    <row r="2498" spans="28:28" x14ac:dyDescent="0.25">
      <c r="AB2498" s="428"/>
    </row>
    <row r="2499" spans="28:28" x14ac:dyDescent="0.25">
      <c r="AB2499" s="428"/>
    </row>
    <row r="2500" spans="28:28" x14ac:dyDescent="0.25">
      <c r="AB2500" s="428"/>
    </row>
    <row r="2501" spans="28:28" x14ac:dyDescent="0.25">
      <c r="AB2501" s="428"/>
    </row>
    <row r="2502" spans="28:28" x14ac:dyDescent="0.25">
      <c r="AB2502" s="428"/>
    </row>
    <row r="2503" spans="28:28" x14ac:dyDescent="0.25">
      <c r="AB2503" s="428"/>
    </row>
    <row r="2504" spans="28:28" x14ac:dyDescent="0.25">
      <c r="AB2504" s="428"/>
    </row>
    <row r="2505" spans="28:28" x14ac:dyDescent="0.25">
      <c r="AB2505" s="428"/>
    </row>
    <row r="2506" spans="28:28" x14ac:dyDescent="0.25">
      <c r="AB2506" s="428"/>
    </row>
    <row r="2507" spans="28:28" x14ac:dyDescent="0.25">
      <c r="AB2507" s="428"/>
    </row>
    <row r="2508" spans="28:28" x14ac:dyDescent="0.25">
      <c r="AB2508" s="428"/>
    </row>
    <row r="2509" spans="28:28" x14ac:dyDescent="0.25">
      <c r="AB2509" s="428"/>
    </row>
    <row r="2510" spans="28:28" x14ac:dyDescent="0.25">
      <c r="AB2510" s="428"/>
    </row>
    <row r="2511" spans="28:28" x14ac:dyDescent="0.25">
      <c r="AB2511" s="428"/>
    </row>
    <row r="2512" spans="28:28" x14ac:dyDescent="0.25">
      <c r="AB2512" s="428"/>
    </row>
    <row r="2513" spans="28:28" x14ac:dyDescent="0.25">
      <c r="AB2513" s="428"/>
    </row>
    <row r="2514" spans="28:28" x14ac:dyDescent="0.25">
      <c r="AB2514" s="428"/>
    </row>
    <row r="2515" spans="28:28" x14ac:dyDescent="0.25">
      <c r="AB2515" s="428"/>
    </row>
    <row r="2516" spans="28:28" x14ac:dyDescent="0.25">
      <c r="AB2516" s="428"/>
    </row>
    <row r="2517" spans="28:28" x14ac:dyDescent="0.25">
      <c r="AB2517" s="428"/>
    </row>
    <row r="2518" spans="28:28" x14ac:dyDescent="0.25">
      <c r="AB2518" s="428"/>
    </row>
    <row r="2519" spans="28:28" x14ac:dyDescent="0.25">
      <c r="AB2519" s="428"/>
    </row>
    <row r="2520" spans="28:28" x14ac:dyDescent="0.25">
      <c r="AB2520" s="428"/>
    </row>
    <row r="2521" spans="28:28" x14ac:dyDescent="0.25">
      <c r="AB2521" s="428"/>
    </row>
    <row r="2522" spans="28:28" x14ac:dyDescent="0.25">
      <c r="AB2522" s="428"/>
    </row>
    <row r="2523" spans="28:28" x14ac:dyDescent="0.25">
      <c r="AB2523" s="428"/>
    </row>
    <row r="2524" spans="28:28" x14ac:dyDescent="0.25">
      <c r="AB2524" s="428"/>
    </row>
    <row r="2525" spans="28:28" x14ac:dyDescent="0.25">
      <c r="AB2525" s="428"/>
    </row>
    <row r="2526" spans="28:28" x14ac:dyDescent="0.25">
      <c r="AB2526" s="428"/>
    </row>
    <row r="2527" spans="28:28" x14ac:dyDescent="0.25">
      <c r="AB2527" s="428"/>
    </row>
    <row r="2528" spans="28:28" x14ac:dyDescent="0.25">
      <c r="AB2528" s="428"/>
    </row>
    <row r="2529" spans="28:28" x14ac:dyDescent="0.25">
      <c r="AB2529" s="428"/>
    </row>
    <row r="2530" spans="28:28" x14ac:dyDescent="0.25">
      <c r="AB2530" s="428"/>
    </row>
    <row r="2531" spans="28:28" x14ac:dyDescent="0.25">
      <c r="AB2531" s="428"/>
    </row>
    <row r="2532" spans="28:28" x14ac:dyDescent="0.25">
      <c r="AB2532" s="428"/>
    </row>
    <row r="2533" spans="28:28" x14ac:dyDescent="0.25">
      <c r="AB2533" s="428"/>
    </row>
    <row r="2534" spans="28:28" x14ac:dyDescent="0.25">
      <c r="AB2534" s="428"/>
    </row>
    <row r="2535" spans="28:28" x14ac:dyDescent="0.25">
      <c r="AB2535" s="428"/>
    </row>
    <row r="2536" spans="28:28" x14ac:dyDescent="0.25">
      <c r="AB2536" s="428"/>
    </row>
    <row r="2537" spans="28:28" x14ac:dyDescent="0.25">
      <c r="AB2537" s="428"/>
    </row>
    <row r="2538" spans="28:28" x14ac:dyDescent="0.25">
      <c r="AB2538" s="428"/>
    </row>
    <row r="2539" spans="28:28" x14ac:dyDescent="0.25">
      <c r="AB2539" s="428"/>
    </row>
    <row r="2540" spans="28:28" x14ac:dyDescent="0.25">
      <c r="AB2540" s="428"/>
    </row>
    <row r="2541" spans="28:28" x14ac:dyDescent="0.25">
      <c r="AB2541" s="428"/>
    </row>
    <row r="2542" spans="28:28" x14ac:dyDescent="0.25">
      <c r="AB2542" s="428"/>
    </row>
    <row r="2543" spans="28:28" x14ac:dyDescent="0.25">
      <c r="AB2543" s="428"/>
    </row>
    <row r="2544" spans="28:28" x14ac:dyDescent="0.25">
      <c r="AB2544" s="428"/>
    </row>
    <row r="2545" spans="28:28" x14ac:dyDescent="0.25">
      <c r="AB2545" s="428"/>
    </row>
    <row r="2546" spans="28:28" x14ac:dyDescent="0.25">
      <c r="AB2546" s="428"/>
    </row>
    <row r="2547" spans="28:28" x14ac:dyDescent="0.25">
      <c r="AB2547" s="428"/>
    </row>
    <row r="2548" spans="28:28" x14ac:dyDescent="0.25">
      <c r="AB2548" s="428"/>
    </row>
    <row r="2549" spans="28:28" x14ac:dyDescent="0.25">
      <c r="AB2549" s="428"/>
    </row>
    <row r="2550" spans="28:28" x14ac:dyDescent="0.25">
      <c r="AB2550" s="428"/>
    </row>
    <row r="2551" spans="28:28" x14ac:dyDescent="0.25">
      <c r="AB2551" s="428"/>
    </row>
    <row r="2552" spans="28:28" x14ac:dyDescent="0.25">
      <c r="AB2552" s="428"/>
    </row>
    <row r="2553" spans="28:28" x14ac:dyDescent="0.25">
      <c r="AB2553" s="428"/>
    </row>
    <row r="2554" spans="28:28" x14ac:dyDescent="0.25">
      <c r="AB2554" s="428"/>
    </row>
    <row r="2555" spans="28:28" x14ac:dyDescent="0.25">
      <c r="AB2555" s="428"/>
    </row>
    <row r="2556" spans="28:28" x14ac:dyDescent="0.25">
      <c r="AB2556" s="428"/>
    </row>
    <row r="2557" spans="28:28" x14ac:dyDescent="0.25">
      <c r="AB2557" s="428"/>
    </row>
    <row r="2558" spans="28:28" x14ac:dyDescent="0.25">
      <c r="AB2558" s="428"/>
    </row>
    <row r="2559" spans="28:28" x14ac:dyDescent="0.25">
      <c r="AB2559" s="428"/>
    </row>
    <row r="2560" spans="28:28" x14ac:dyDescent="0.25">
      <c r="AB2560" s="428"/>
    </row>
    <row r="2561" spans="28:28" x14ac:dyDescent="0.25">
      <c r="AB2561" s="428"/>
    </row>
    <row r="2562" spans="28:28" x14ac:dyDescent="0.25">
      <c r="AB2562" s="428"/>
    </row>
    <row r="2563" spans="28:28" x14ac:dyDescent="0.25">
      <c r="AB2563" s="428"/>
    </row>
    <row r="2564" spans="28:28" x14ac:dyDescent="0.25">
      <c r="AB2564" s="428"/>
    </row>
    <row r="2565" spans="28:28" x14ac:dyDescent="0.25">
      <c r="AB2565" s="428"/>
    </row>
    <row r="2566" spans="28:28" x14ac:dyDescent="0.25">
      <c r="AB2566" s="428"/>
    </row>
    <row r="2567" spans="28:28" x14ac:dyDescent="0.25">
      <c r="AB2567" s="428"/>
    </row>
    <row r="2568" spans="28:28" x14ac:dyDescent="0.25">
      <c r="AB2568" s="428"/>
    </row>
    <row r="2569" spans="28:28" x14ac:dyDescent="0.25">
      <c r="AB2569" s="428"/>
    </row>
    <row r="2570" spans="28:28" x14ac:dyDescent="0.25">
      <c r="AB2570" s="428"/>
    </row>
    <row r="2571" spans="28:28" x14ac:dyDescent="0.25">
      <c r="AB2571" s="428"/>
    </row>
    <row r="2572" spans="28:28" x14ac:dyDescent="0.25">
      <c r="AB2572" s="428"/>
    </row>
    <row r="2573" spans="28:28" x14ac:dyDescent="0.25">
      <c r="AB2573" s="428"/>
    </row>
    <row r="2574" spans="28:28" x14ac:dyDescent="0.25">
      <c r="AB2574" s="428"/>
    </row>
    <row r="2575" spans="28:28" x14ac:dyDescent="0.25">
      <c r="AB2575" s="428"/>
    </row>
    <row r="2576" spans="28:28" x14ac:dyDescent="0.25">
      <c r="AB2576" s="428"/>
    </row>
    <row r="2577" spans="28:28" x14ac:dyDescent="0.25">
      <c r="AB2577" s="428"/>
    </row>
    <row r="2578" spans="28:28" x14ac:dyDescent="0.25">
      <c r="AB2578" s="428"/>
    </row>
    <row r="2579" spans="28:28" x14ac:dyDescent="0.25">
      <c r="AB2579" s="428"/>
    </row>
    <row r="2580" spans="28:28" x14ac:dyDescent="0.25">
      <c r="AB2580" s="428"/>
    </row>
    <row r="2581" spans="28:28" x14ac:dyDescent="0.25">
      <c r="AB2581" s="428"/>
    </row>
    <row r="2582" spans="28:28" x14ac:dyDescent="0.25">
      <c r="AB2582" s="428"/>
    </row>
    <row r="2583" spans="28:28" x14ac:dyDescent="0.25">
      <c r="AB2583" s="428"/>
    </row>
    <row r="2584" spans="28:28" x14ac:dyDescent="0.25">
      <c r="AB2584" s="428"/>
    </row>
    <row r="2585" spans="28:28" x14ac:dyDescent="0.25">
      <c r="AB2585" s="428"/>
    </row>
    <row r="2586" spans="28:28" x14ac:dyDescent="0.25">
      <c r="AB2586" s="428"/>
    </row>
    <row r="2587" spans="28:28" x14ac:dyDescent="0.25">
      <c r="AB2587" s="428"/>
    </row>
    <row r="2588" spans="28:28" x14ac:dyDescent="0.25">
      <c r="AB2588" s="428"/>
    </row>
    <row r="2589" spans="28:28" x14ac:dyDescent="0.25">
      <c r="AB2589" s="428"/>
    </row>
    <row r="2590" spans="28:28" x14ac:dyDescent="0.25">
      <c r="AB2590" s="428"/>
    </row>
    <row r="2591" spans="28:28" x14ac:dyDescent="0.25">
      <c r="AB2591" s="428"/>
    </row>
    <row r="2592" spans="28:28" x14ac:dyDescent="0.25">
      <c r="AB2592" s="428"/>
    </row>
    <row r="2593" spans="28:28" x14ac:dyDescent="0.25">
      <c r="AB2593" s="428"/>
    </row>
    <row r="2594" spans="28:28" x14ac:dyDescent="0.25">
      <c r="AB2594" s="428"/>
    </row>
    <row r="2595" spans="28:28" x14ac:dyDescent="0.25">
      <c r="AB2595" s="428"/>
    </row>
    <row r="2596" spans="28:28" x14ac:dyDescent="0.25">
      <c r="AB2596" s="428"/>
    </row>
    <row r="2597" spans="28:28" x14ac:dyDescent="0.25">
      <c r="AB2597" s="428"/>
    </row>
    <row r="2598" spans="28:28" x14ac:dyDescent="0.25">
      <c r="AB2598" s="428"/>
    </row>
    <row r="2599" spans="28:28" x14ac:dyDescent="0.25">
      <c r="AB2599" s="428"/>
    </row>
    <row r="2600" spans="28:28" x14ac:dyDescent="0.25">
      <c r="AB2600" s="428"/>
    </row>
    <row r="2601" spans="28:28" x14ac:dyDescent="0.25">
      <c r="AB2601" s="428"/>
    </row>
    <row r="2602" spans="28:28" x14ac:dyDescent="0.25">
      <c r="AB2602" s="428"/>
    </row>
    <row r="2603" spans="28:28" x14ac:dyDescent="0.25">
      <c r="AB2603" s="428"/>
    </row>
    <row r="2604" spans="28:28" x14ac:dyDescent="0.25">
      <c r="AB2604" s="428"/>
    </row>
    <row r="2605" spans="28:28" x14ac:dyDescent="0.25">
      <c r="AB2605" s="428"/>
    </row>
    <row r="2606" spans="28:28" x14ac:dyDescent="0.25">
      <c r="AB2606" s="428"/>
    </row>
    <row r="2607" spans="28:28" x14ac:dyDescent="0.25">
      <c r="AB2607" s="428"/>
    </row>
    <row r="2608" spans="28:28" x14ac:dyDescent="0.25">
      <c r="AB2608" s="428"/>
    </row>
    <row r="2609" spans="28:28" x14ac:dyDescent="0.25">
      <c r="AB2609" s="428"/>
    </row>
    <row r="2610" spans="28:28" x14ac:dyDescent="0.25">
      <c r="AB2610" s="428"/>
    </row>
    <row r="2611" spans="28:28" x14ac:dyDescent="0.25">
      <c r="AB2611" s="428"/>
    </row>
    <row r="2612" spans="28:28" x14ac:dyDescent="0.25">
      <c r="AB2612" s="428"/>
    </row>
    <row r="2613" spans="28:28" x14ac:dyDescent="0.25">
      <c r="AB2613" s="428"/>
    </row>
    <row r="2614" spans="28:28" x14ac:dyDescent="0.25">
      <c r="AB2614" s="428"/>
    </row>
    <row r="2615" spans="28:28" x14ac:dyDescent="0.25">
      <c r="AB2615" s="428"/>
    </row>
    <row r="2616" spans="28:28" x14ac:dyDescent="0.25">
      <c r="AB2616" s="428"/>
    </row>
    <row r="2617" spans="28:28" x14ac:dyDescent="0.25">
      <c r="AB2617" s="428"/>
    </row>
    <row r="2618" spans="28:28" x14ac:dyDescent="0.25">
      <c r="AB2618" s="428"/>
    </row>
    <row r="2619" spans="28:28" x14ac:dyDescent="0.25">
      <c r="AB2619" s="428"/>
    </row>
    <row r="2620" spans="28:28" x14ac:dyDescent="0.25">
      <c r="AB2620" s="428"/>
    </row>
    <row r="2621" spans="28:28" x14ac:dyDescent="0.25">
      <c r="AB2621" s="428"/>
    </row>
    <row r="2622" spans="28:28" x14ac:dyDescent="0.25">
      <c r="AB2622" s="428"/>
    </row>
    <row r="2623" spans="28:28" x14ac:dyDescent="0.25">
      <c r="AB2623" s="428"/>
    </row>
    <row r="2624" spans="28:28" x14ac:dyDescent="0.25">
      <c r="AB2624" s="428"/>
    </row>
    <row r="2625" spans="28:28" x14ac:dyDescent="0.25">
      <c r="AB2625" s="428"/>
    </row>
    <row r="2626" spans="28:28" x14ac:dyDescent="0.25">
      <c r="AB2626" s="428"/>
    </row>
    <row r="2627" spans="28:28" x14ac:dyDescent="0.25">
      <c r="AB2627" s="428"/>
    </row>
    <row r="2628" spans="28:28" x14ac:dyDescent="0.25">
      <c r="AB2628" s="428"/>
    </row>
    <row r="2629" spans="28:28" x14ac:dyDescent="0.25">
      <c r="AB2629" s="428"/>
    </row>
    <row r="2630" spans="28:28" x14ac:dyDescent="0.25">
      <c r="AB2630" s="428"/>
    </row>
    <row r="2631" spans="28:28" x14ac:dyDescent="0.25">
      <c r="AB2631" s="428"/>
    </row>
    <row r="2632" spans="28:28" x14ac:dyDescent="0.25">
      <c r="AB2632" s="428"/>
    </row>
    <row r="2633" spans="28:28" x14ac:dyDescent="0.25">
      <c r="AB2633" s="428"/>
    </row>
    <row r="2634" spans="28:28" x14ac:dyDescent="0.25">
      <c r="AB2634" s="428"/>
    </row>
    <row r="2635" spans="28:28" x14ac:dyDescent="0.25">
      <c r="AB2635" s="428"/>
    </row>
    <row r="2636" spans="28:28" x14ac:dyDescent="0.25">
      <c r="AB2636" s="428"/>
    </row>
    <row r="2637" spans="28:28" x14ac:dyDescent="0.25">
      <c r="AB2637" s="428"/>
    </row>
    <row r="2638" spans="28:28" x14ac:dyDescent="0.25">
      <c r="AB2638" s="428"/>
    </row>
    <row r="2639" spans="28:28" x14ac:dyDescent="0.25">
      <c r="AB2639" s="428"/>
    </row>
    <row r="2640" spans="28:28" x14ac:dyDescent="0.25">
      <c r="AB2640" s="428"/>
    </row>
    <row r="2641" spans="28:28" x14ac:dyDescent="0.25">
      <c r="AB2641" s="428"/>
    </row>
    <row r="2642" spans="28:28" x14ac:dyDescent="0.25">
      <c r="AB2642" s="428"/>
    </row>
    <row r="2643" spans="28:28" x14ac:dyDescent="0.25">
      <c r="AB2643" s="428"/>
    </row>
    <row r="2644" spans="28:28" x14ac:dyDescent="0.25">
      <c r="AB2644" s="428"/>
    </row>
    <row r="2645" spans="28:28" x14ac:dyDescent="0.25">
      <c r="AB2645" s="428"/>
    </row>
    <row r="2646" spans="28:28" x14ac:dyDescent="0.25">
      <c r="AB2646" s="428"/>
    </row>
    <row r="2647" spans="28:28" x14ac:dyDescent="0.25">
      <c r="AB2647" s="428"/>
    </row>
    <row r="2648" spans="28:28" x14ac:dyDescent="0.25">
      <c r="AB2648" s="428"/>
    </row>
    <row r="2649" spans="28:28" x14ac:dyDescent="0.25">
      <c r="AB2649" s="428"/>
    </row>
    <row r="2650" spans="28:28" x14ac:dyDescent="0.25">
      <c r="AB2650" s="428"/>
    </row>
    <row r="2651" spans="28:28" x14ac:dyDescent="0.25">
      <c r="AB2651" s="428"/>
    </row>
    <row r="2652" spans="28:28" x14ac:dyDescent="0.25">
      <c r="AB2652" s="428"/>
    </row>
    <row r="2653" spans="28:28" x14ac:dyDescent="0.25">
      <c r="AB2653" s="428"/>
    </row>
    <row r="2654" spans="28:28" x14ac:dyDescent="0.25">
      <c r="AB2654" s="428"/>
    </row>
    <row r="2655" spans="28:28" x14ac:dyDescent="0.25">
      <c r="AB2655" s="428"/>
    </row>
    <row r="2656" spans="28:28" x14ac:dyDescent="0.25">
      <c r="AB2656" s="428"/>
    </row>
    <row r="2657" spans="28:28" x14ac:dyDescent="0.25">
      <c r="AB2657" s="428"/>
    </row>
    <row r="2658" spans="28:28" x14ac:dyDescent="0.25">
      <c r="AB2658" s="428"/>
    </row>
    <row r="2659" spans="28:28" x14ac:dyDescent="0.25">
      <c r="AB2659" s="428"/>
    </row>
    <row r="2660" spans="28:28" x14ac:dyDescent="0.25">
      <c r="AB2660" s="428"/>
    </row>
    <row r="2661" spans="28:28" x14ac:dyDescent="0.25">
      <c r="AB2661" s="428"/>
    </row>
    <row r="2662" spans="28:28" x14ac:dyDescent="0.25">
      <c r="AB2662" s="428"/>
    </row>
    <row r="2663" spans="28:28" x14ac:dyDescent="0.25">
      <c r="AB2663" s="428"/>
    </row>
    <row r="2664" spans="28:28" x14ac:dyDescent="0.25">
      <c r="AB2664" s="428"/>
    </row>
    <row r="2665" spans="28:28" x14ac:dyDescent="0.25">
      <c r="AB2665" s="428"/>
    </row>
    <row r="2666" spans="28:28" x14ac:dyDescent="0.25">
      <c r="AB2666" s="428"/>
    </row>
    <row r="2667" spans="28:28" x14ac:dyDescent="0.25">
      <c r="AB2667" s="428"/>
    </row>
    <row r="2668" spans="28:28" x14ac:dyDescent="0.25">
      <c r="AB2668" s="428"/>
    </row>
    <row r="2669" spans="28:28" x14ac:dyDescent="0.25">
      <c r="AB2669" s="428"/>
    </row>
    <row r="2670" spans="28:28" x14ac:dyDescent="0.25">
      <c r="AB2670" s="428"/>
    </row>
    <row r="2671" spans="28:28" x14ac:dyDescent="0.25">
      <c r="AB2671" s="428"/>
    </row>
    <row r="2672" spans="28:28" x14ac:dyDescent="0.25">
      <c r="AB2672" s="428"/>
    </row>
    <row r="2673" spans="28:28" x14ac:dyDescent="0.25">
      <c r="AB2673" s="428"/>
    </row>
    <row r="2674" spans="28:28" x14ac:dyDescent="0.25">
      <c r="AB2674" s="428"/>
    </row>
    <row r="2675" spans="28:28" x14ac:dyDescent="0.25">
      <c r="AB2675" s="428"/>
    </row>
    <row r="2676" spans="28:28" x14ac:dyDescent="0.25">
      <c r="AB2676" s="428"/>
    </row>
    <row r="2677" spans="28:28" x14ac:dyDescent="0.25">
      <c r="AB2677" s="428"/>
    </row>
    <row r="2678" spans="28:28" x14ac:dyDescent="0.25">
      <c r="AB2678" s="428"/>
    </row>
    <row r="2679" spans="28:28" x14ac:dyDescent="0.25">
      <c r="AB2679" s="428"/>
    </row>
    <row r="2680" spans="28:28" x14ac:dyDescent="0.25">
      <c r="AB2680" s="428"/>
    </row>
    <row r="2681" spans="28:28" x14ac:dyDescent="0.25">
      <c r="AB2681" s="428"/>
    </row>
    <row r="2682" spans="28:28" x14ac:dyDescent="0.25">
      <c r="AB2682" s="428"/>
    </row>
    <row r="2683" spans="28:28" x14ac:dyDescent="0.25">
      <c r="AB2683" s="428"/>
    </row>
    <row r="2684" spans="28:28" x14ac:dyDescent="0.25">
      <c r="AB2684" s="428"/>
    </row>
    <row r="2685" spans="28:28" x14ac:dyDescent="0.25">
      <c r="AB2685" s="428"/>
    </row>
    <row r="2686" spans="28:28" x14ac:dyDescent="0.25">
      <c r="AB2686" s="428"/>
    </row>
    <row r="2687" spans="28:28" x14ac:dyDescent="0.25">
      <c r="AB2687" s="428"/>
    </row>
    <row r="2688" spans="28:28" x14ac:dyDescent="0.25">
      <c r="AB2688" s="428"/>
    </row>
    <row r="2689" spans="28:28" x14ac:dyDescent="0.25">
      <c r="AB2689" s="428"/>
    </row>
    <row r="2690" spans="28:28" x14ac:dyDescent="0.25">
      <c r="AB2690" s="428"/>
    </row>
    <row r="2691" spans="28:28" x14ac:dyDescent="0.25">
      <c r="AB2691" s="428"/>
    </row>
    <row r="2692" spans="28:28" x14ac:dyDescent="0.25">
      <c r="AB2692" s="428"/>
    </row>
    <row r="2693" spans="28:28" x14ac:dyDescent="0.25">
      <c r="AB2693" s="428"/>
    </row>
    <row r="2694" spans="28:28" x14ac:dyDescent="0.25">
      <c r="AB2694" s="428"/>
    </row>
    <row r="2695" spans="28:28" x14ac:dyDescent="0.25">
      <c r="AB2695" s="428"/>
    </row>
    <row r="2696" spans="28:28" x14ac:dyDescent="0.25">
      <c r="AB2696" s="428"/>
    </row>
    <row r="2697" spans="28:28" x14ac:dyDescent="0.25">
      <c r="AB2697" s="428"/>
    </row>
    <row r="2698" spans="28:28" x14ac:dyDescent="0.25">
      <c r="AB2698" s="428"/>
    </row>
    <row r="2699" spans="28:28" x14ac:dyDescent="0.25">
      <c r="AB2699" s="428"/>
    </row>
    <row r="2700" spans="28:28" x14ac:dyDescent="0.25">
      <c r="AB2700" s="428"/>
    </row>
    <row r="2701" spans="28:28" x14ac:dyDescent="0.25">
      <c r="AB2701" s="428"/>
    </row>
    <row r="2702" spans="28:28" x14ac:dyDescent="0.25">
      <c r="AB2702" s="428"/>
    </row>
    <row r="2703" spans="28:28" x14ac:dyDescent="0.25">
      <c r="AB2703" s="428"/>
    </row>
    <row r="2704" spans="28:28" x14ac:dyDescent="0.25">
      <c r="AB2704" s="428"/>
    </row>
    <row r="2705" spans="28:28" x14ac:dyDescent="0.25">
      <c r="AB2705" s="428"/>
    </row>
    <row r="2706" spans="28:28" x14ac:dyDescent="0.25">
      <c r="AB2706" s="428"/>
    </row>
    <row r="2707" spans="28:28" x14ac:dyDescent="0.25">
      <c r="AB2707" s="428"/>
    </row>
    <row r="2708" spans="28:28" x14ac:dyDescent="0.25">
      <c r="AB2708" s="428"/>
    </row>
    <row r="2709" spans="28:28" x14ac:dyDescent="0.25">
      <c r="AB2709" s="428"/>
    </row>
    <row r="2710" spans="28:28" x14ac:dyDescent="0.25">
      <c r="AB2710" s="428"/>
    </row>
    <row r="2711" spans="28:28" x14ac:dyDescent="0.25">
      <c r="AB2711" s="428"/>
    </row>
    <row r="2712" spans="28:28" x14ac:dyDescent="0.25">
      <c r="AB2712" s="428"/>
    </row>
    <row r="2713" spans="28:28" x14ac:dyDescent="0.25">
      <c r="AB2713" s="428"/>
    </row>
    <row r="2714" spans="28:28" x14ac:dyDescent="0.25">
      <c r="AB2714" s="428"/>
    </row>
    <row r="2715" spans="28:28" x14ac:dyDescent="0.25">
      <c r="AB2715" s="428"/>
    </row>
    <row r="2716" spans="28:28" x14ac:dyDescent="0.25">
      <c r="AB2716" s="428"/>
    </row>
    <row r="2717" spans="28:28" x14ac:dyDescent="0.25">
      <c r="AB2717" s="428"/>
    </row>
    <row r="2718" spans="28:28" x14ac:dyDescent="0.25">
      <c r="AB2718" s="428"/>
    </row>
    <row r="2719" spans="28:28" x14ac:dyDescent="0.25">
      <c r="AB2719" s="428"/>
    </row>
    <row r="2720" spans="28:28" x14ac:dyDescent="0.25">
      <c r="AB2720" s="428"/>
    </row>
    <row r="2721" spans="28:28" x14ac:dyDescent="0.25">
      <c r="AB2721" s="428"/>
    </row>
    <row r="2722" spans="28:28" x14ac:dyDescent="0.25">
      <c r="AB2722" s="428"/>
    </row>
    <row r="2723" spans="28:28" x14ac:dyDescent="0.25">
      <c r="AB2723" s="428"/>
    </row>
    <row r="2724" spans="28:28" x14ac:dyDescent="0.25">
      <c r="AB2724" s="428"/>
    </row>
    <row r="2725" spans="28:28" x14ac:dyDescent="0.25">
      <c r="AB2725" s="428"/>
    </row>
    <row r="2726" spans="28:28" x14ac:dyDescent="0.25">
      <c r="AB2726" s="428"/>
    </row>
    <row r="2727" spans="28:28" x14ac:dyDescent="0.25">
      <c r="AB2727" s="428"/>
    </row>
    <row r="2728" spans="28:28" x14ac:dyDescent="0.25">
      <c r="AB2728" s="428"/>
    </row>
    <row r="2729" spans="28:28" x14ac:dyDescent="0.25">
      <c r="AB2729" s="428"/>
    </row>
    <row r="2730" spans="28:28" x14ac:dyDescent="0.25">
      <c r="AB2730" s="428"/>
    </row>
    <row r="2731" spans="28:28" x14ac:dyDescent="0.25">
      <c r="AB2731" s="428"/>
    </row>
    <row r="2732" spans="28:28" x14ac:dyDescent="0.25">
      <c r="AB2732" s="428"/>
    </row>
    <row r="2733" spans="28:28" x14ac:dyDescent="0.25">
      <c r="AB2733" s="428"/>
    </row>
    <row r="2734" spans="28:28" x14ac:dyDescent="0.25">
      <c r="AB2734" s="428"/>
    </row>
    <row r="2735" spans="28:28" x14ac:dyDescent="0.25">
      <c r="AB2735" s="428"/>
    </row>
    <row r="2736" spans="28:28" x14ac:dyDescent="0.25">
      <c r="AB2736" s="428"/>
    </row>
    <row r="2737" spans="28:28" x14ac:dyDescent="0.25">
      <c r="AB2737" s="428"/>
    </row>
    <row r="2738" spans="28:28" x14ac:dyDescent="0.25">
      <c r="AB2738" s="428"/>
    </row>
    <row r="2739" spans="28:28" x14ac:dyDescent="0.25">
      <c r="AB2739" s="428"/>
    </row>
    <row r="2740" spans="28:28" x14ac:dyDescent="0.25">
      <c r="AB2740" s="428"/>
    </row>
    <row r="2741" spans="28:28" x14ac:dyDescent="0.25">
      <c r="AB2741" s="428"/>
    </row>
    <row r="2742" spans="28:28" x14ac:dyDescent="0.25">
      <c r="AB2742" s="428"/>
    </row>
    <row r="2743" spans="28:28" x14ac:dyDescent="0.25">
      <c r="AB2743" s="428"/>
    </row>
    <row r="2744" spans="28:28" x14ac:dyDescent="0.25">
      <c r="AB2744" s="428"/>
    </row>
    <row r="2745" spans="28:28" x14ac:dyDescent="0.25">
      <c r="AB2745" s="428"/>
    </row>
    <row r="2746" spans="28:28" x14ac:dyDescent="0.25">
      <c r="AB2746" s="428"/>
    </row>
    <row r="2747" spans="28:28" x14ac:dyDescent="0.25">
      <c r="AB2747" s="428"/>
    </row>
    <row r="2748" spans="28:28" x14ac:dyDescent="0.25">
      <c r="AB2748" s="428"/>
    </row>
    <row r="2749" spans="28:28" x14ac:dyDescent="0.25">
      <c r="AB2749" s="428"/>
    </row>
    <row r="2750" spans="28:28" x14ac:dyDescent="0.25">
      <c r="AB2750" s="428"/>
    </row>
    <row r="2751" spans="28:28" x14ac:dyDescent="0.25">
      <c r="AB2751" s="428"/>
    </row>
    <row r="2752" spans="28:28" x14ac:dyDescent="0.25">
      <c r="AB2752" s="428"/>
    </row>
    <row r="2753" spans="28:28" x14ac:dyDescent="0.25">
      <c r="AB2753" s="428"/>
    </row>
    <row r="2754" spans="28:28" x14ac:dyDescent="0.25">
      <c r="AB2754" s="428"/>
    </row>
    <row r="2755" spans="28:28" x14ac:dyDescent="0.25">
      <c r="AB2755" s="428"/>
    </row>
    <row r="2756" spans="28:28" x14ac:dyDescent="0.25">
      <c r="AB2756" s="428"/>
    </row>
    <row r="2757" spans="28:28" x14ac:dyDescent="0.25">
      <c r="AB2757" s="428"/>
    </row>
    <row r="2758" spans="28:28" x14ac:dyDescent="0.25">
      <c r="AB2758" s="428"/>
    </row>
    <row r="2759" spans="28:28" x14ac:dyDescent="0.25">
      <c r="AB2759" s="428"/>
    </row>
    <row r="2760" spans="28:28" x14ac:dyDescent="0.25">
      <c r="AB2760" s="428"/>
    </row>
    <row r="2761" spans="28:28" x14ac:dyDescent="0.25">
      <c r="AB2761" s="428"/>
    </row>
    <row r="2762" spans="28:28" x14ac:dyDescent="0.25">
      <c r="AB2762" s="428"/>
    </row>
    <row r="2763" spans="28:28" x14ac:dyDescent="0.25">
      <c r="AB2763" s="428"/>
    </row>
    <row r="2764" spans="28:28" x14ac:dyDescent="0.25">
      <c r="AB2764" s="428"/>
    </row>
    <row r="2765" spans="28:28" x14ac:dyDescent="0.25">
      <c r="AB2765" s="428"/>
    </row>
    <row r="2766" spans="28:28" x14ac:dyDescent="0.25">
      <c r="AB2766" s="428"/>
    </row>
    <row r="2767" spans="28:28" x14ac:dyDescent="0.25">
      <c r="AB2767" s="428"/>
    </row>
    <row r="2768" spans="28:28" x14ac:dyDescent="0.25">
      <c r="AB2768" s="428"/>
    </row>
    <row r="2769" spans="28:28" x14ac:dyDescent="0.25">
      <c r="AB2769" s="428"/>
    </row>
    <row r="2770" spans="28:28" x14ac:dyDescent="0.25">
      <c r="AB2770" s="428"/>
    </row>
    <row r="2771" spans="28:28" x14ac:dyDescent="0.25">
      <c r="AB2771" s="428"/>
    </row>
    <row r="2772" spans="28:28" x14ac:dyDescent="0.25">
      <c r="AB2772" s="428"/>
    </row>
    <row r="2773" spans="28:28" x14ac:dyDescent="0.25">
      <c r="AB2773" s="428"/>
    </row>
    <row r="2774" spans="28:28" x14ac:dyDescent="0.25">
      <c r="AB2774" s="428"/>
    </row>
    <row r="2775" spans="28:28" x14ac:dyDescent="0.25">
      <c r="AB2775" s="428"/>
    </row>
    <row r="2776" spans="28:28" x14ac:dyDescent="0.25">
      <c r="AB2776" s="428"/>
    </row>
    <row r="2777" spans="28:28" x14ac:dyDescent="0.25">
      <c r="AB2777" s="428"/>
    </row>
    <row r="2778" spans="28:28" x14ac:dyDescent="0.25">
      <c r="AB2778" s="428"/>
    </row>
    <row r="2779" spans="28:28" x14ac:dyDescent="0.25">
      <c r="AB2779" s="428"/>
    </row>
    <row r="2780" spans="28:28" x14ac:dyDescent="0.25">
      <c r="AB2780" s="428"/>
    </row>
    <row r="2781" spans="28:28" x14ac:dyDescent="0.25">
      <c r="AB2781" s="428"/>
    </row>
    <row r="2782" spans="28:28" x14ac:dyDescent="0.25">
      <c r="AB2782" s="428"/>
    </row>
    <row r="2783" spans="28:28" x14ac:dyDescent="0.25">
      <c r="AB2783" s="428"/>
    </row>
    <row r="2784" spans="28:28" x14ac:dyDescent="0.25">
      <c r="AB2784" s="428"/>
    </row>
    <row r="2785" spans="28:28" x14ac:dyDescent="0.25">
      <c r="AB2785" s="428"/>
    </row>
    <row r="2786" spans="28:28" x14ac:dyDescent="0.25">
      <c r="AB2786" s="428"/>
    </row>
    <row r="2787" spans="28:28" x14ac:dyDescent="0.25">
      <c r="AB2787" s="428"/>
    </row>
    <row r="2788" spans="28:28" x14ac:dyDescent="0.25">
      <c r="AB2788" s="428"/>
    </row>
    <row r="2789" spans="28:28" x14ac:dyDescent="0.25">
      <c r="AB2789" s="428"/>
    </row>
    <row r="2790" spans="28:28" x14ac:dyDescent="0.25">
      <c r="AB2790" s="428"/>
    </row>
    <row r="2791" spans="28:28" x14ac:dyDescent="0.25">
      <c r="AB2791" s="428"/>
    </row>
    <row r="2792" spans="28:28" x14ac:dyDescent="0.25">
      <c r="AB2792" s="428"/>
    </row>
    <row r="2793" spans="28:28" x14ac:dyDescent="0.25">
      <c r="AB2793" s="428"/>
    </row>
    <row r="2794" spans="28:28" x14ac:dyDescent="0.25">
      <c r="AB2794" s="428"/>
    </row>
    <row r="2795" spans="28:28" x14ac:dyDescent="0.25">
      <c r="AB2795" s="428"/>
    </row>
    <row r="2796" spans="28:28" x14ac:dyDescent="0.25">
      <c r="AB2796" s="428"/>
    </row>
    <row r="2797" spans="28:28" x14ac:dyDescent="0.25">
      <c r="AB2797" s="428"/>
    </row>
    <row r="2798" spans="28:28" x14ac:dyDescent="0.25">
      <c r="AB2798" s="428"/>
    </row>
    <row r="2799" spans="28:28" x14ac:dyDescent="0.25">
      <c r="AB2799" s="428"/>
    </row>
    <row r="2800" spans="28:28" x14ac:dyDescent="0.25">
      <c r="AB2800" s="428"/>
    </row>
    <row r="2801" spans="28:28" x14ac:dyDescent="0.25">
      <c r="AB2801" s="428"/>
    </row>
    <row r="2802" spans="28:28" x14ac:dyDescent="0.25">
      <c r="AB2802" s="428"/>
    </row>
    <row r="2803" spans="28:28" x14ac:dyDescent="0.25">
      <c r="AB2803" s="428"/>
    </row>
    <row r="2804" spans="28:28" x14ac:dyDescent="0.25">
      <c r="AB2804" s="428"/>
    </row>
    <row r="2805" spans="28:28" x14ac:dyDescent="0.25">
      <c r="AB2805" s="428"/>
    </row>
    <row r="2806" spans="28:28" x14ac:dyDescent="0.25">
      <c r="AB2806" s="428"/>
    </row>
    <row r="2807" spans="28:28" x14ac:dyDescent="0.25">
      <c r="AB2807" s="428"/>
    </row>
    <row r="2808" spans="28:28" x14ac:dyDescent="0.25">
      <c r="AB2808" s="428"/>
    </row>
    <row r="2809" spans="28:28" x14ac:dyDescent="0.25">
      <c r="AB2809" s="428"/>
    </row>
    <row r="2810" spans="28:28" x14ac:dyDescent="0.25">
      <c r="AB2810" s="428"/>
    </row>
    <row r="2811" spans="28:28" x14ac:dyDescent="0.25">
      <c r="AB2811" s="428"/>
    </row>
    <row r="2812" spans="28:28" x14ac:dyDescent="0.25">
      <c r="AB2812" s="428"/>
    </row>
    <row r="2813" spans="28:28" x14ac:dyDescent="0.25">
      <c r="AB2813" s="428"/>
    </row>
    <row r="2814" spans="28:28" x14ac:dyDescent="0.25">
      <c r="AB2814" s="428"/>
    </row>
    <row r="2815" spans="28:28" x14ac:dyDescent="0.25">
      <c r="AB2815" s="428"/>
    </row>
    <row r="2816" spans="28:28" x14ac:dyDescent="0.25">
      <c r="AB2816" s="428"/>
    </row>
    <row r="2817" spans="28:28" x14ac:dyDescent="0.25">
      <c r="AB2817" s="428"/>
    </row>
    <row r="2818" spans="28:28" x14ac:dyDescent="0.25">
      <c r="AB2818" s="428"/>
    </row>
    <row r="2819" spans="28:28" x14ac:dyDescent="0.25">
      <c r="AB2819" s="428"/>
    </row>
    <row r="2820" spans="28:28" x14ac:dyDescent="0.25">
      <c r="AB2820" s="428"/>
    </row>
    <row r="2821" spans="28:28" x14ac:dyDescent="0.25">
      <c r="AB2821" s="428"/>
    </row>
    <row r="2822" spans="28:28" x14ac:dyDescent="0.25">
      <c r="AB2822" s="428"/>
    </row>
    <row r="2823" spans="28:28" x14ac:dyDescent="0.25">
      <c r="AB2823" s="428"/>
    </row>
    <row r="2824" spans="28:28" x14ac:dyDescent="0.25">
      <c r="AB2824" s="428"/>
    </row>
    <row r="2825" spans="28:28" x14ac:dyDescent="0.25">
      <c r="AB2825" s="428"/>
    </row>
    <row r="2826" spans="28:28" x14ac:dyDescent="0.25">
      <c r="AB2826" s="428"/>
    </row>
    <row r="2827" spans="28:28" x14ac:dyDescent="0.25">
      <c r="AB2827" s="428"/>
    </row>
    <row r="2828" spans="28:28" x14ac:dyDescent="0.25">
      <c r="AB2828" s="428"/>
    </row>
    <row r="2829" spans="28:28" x14ac:dyDescent="0.25">
      <c r="AB2829" s="428"/>
    </row>
    <row r="2830" spans="28:28" x14ac:dyDescent="0.25">
      <c r="AB2830" s="428"/>
    </row>
    <row r="2831" spans="28:28" x14ac:dyDescent="0.25">
      <c r="AB2831" s="428"/>
    </row>
    <row r="2832" spans="28:28" x14ac:dyDescent="0.25">
      <c r="AB2832" s="428"/>
    </row>
    <row r="2833" spans="28:28" x14ac:dyDescent="0.25">
      <c r="AB2833" s="428"/>
    </row>
    <row r="2834" spans="28:28" x14ac:dyDescent="0.25">
      <c r="AB2834" s="428"/>
    </row>
    <row r="2835" spans="28:28" x14ac:dyDescent="0.25">
      <c r="AB2835" s="428"/>
    </row>
    <row r="2836" spans="28:28" x14ac:dyDescent="0.25">
      <c r="AB2836" s="428"/>
    </row>
    <row r="2837" spans="28:28" x14ac:dyDescent="0.25">
      <c r="AB2837" s="428"/>
    </row>
    <row r="2838" spans="28:28" x14ac:dyDescent="0.25">
      <c r="AB2838" s="428"/>
    </row>
    <row r="2839" spans="28:28" x14ac:dyDescent="0.25">
      <c r="AB2839" s="428"/>
    </row>
    <row r="2840" spans="28:28" x14ac:dyDescent="0.25">
      <c r="AB2840" s="428"/>
    </row>
    <row r="2841" spans="28:28" x14ac:dyDescent="0.25">
      <c r="AB2841" s="428"/>
    </row>
    <row r="2842" spans="28:28" x14ac:dyDescent="0.25">
      <c r="AB2842" s="428"/>
    </row>
    <row r="2843" spans="28:28" x14ac:dyDescent="0.25">
      <c r="AB2843" s="428"/>
    </row>
    <row r="2844" spans="28:28" x14ac:dyDescent="0.25">
      <c r="AB2844" s="428"/>
    </row>
    <row r="2845" spans="28:28" x14ac:dyDescent="0.25">
      <c r="AB2845" s="428"/>
    </row>
    <row r="2846" spans="28:28" x14ac:dyDescent="0.25">
      <c r="AB2846" s="428"/>
    </row>
    <row r="2847" spans="28:28" x14ac:dyDescent="0.25">
      <c r="AB2847" s="428"/>
    </row>
    <row r="2848" spans="28:28" x14ac:dyDescent="0.25">
      <c r="AB2848" s="428"/>
    </row>
    <row r="2849" spans="28:28" x14ac:dyDescent="0.25">
      <c r="AB2849" s="428"/>
    </row>
    <row r="2850" spans="28:28" x14ac:dyDescent="0.25">
      <c r="AB2850" s="428"/>
    </row>
    <row r="2851" spans="28:28" x14ac:dyDescent="0.25">
      <c r="AB2851" s="428"/>
    </row>
    <row r="2852" spans="28:28" x14ac:dyDescent="0.25">
      <c r="AB2852" s="428"/>
    </row>
    <row r="2853" spans="28:28" x14ac:dyDescent="0.25">
      <c r="AB2853" s="428"/>
    </row>
    <row r="2854" spans="28:28" x14ac:dyDescent="0.25">
      <c r="AB2854" s="428"/>
    </row>
    <row r="2855" spans="28:28" x14ac:dyDescent="0.25">
      <c r="AB2855" s="428"/>
    </row>
    <row r="2856" spans="28:28" x14ac:dyDescent="0.25">
      <c r="AB2856" s="428"/>
    </row>
    <row r="2857" spans="28:28" x14ac:dyDescent="0.25">
      <c r="AB2857" s="428"/>
    </row>
    <row r="2858" spans="28:28" x14ac:dyDescent="0.25">
      <c r="AB2858" s="428"/>
    </row>
    <row r="2859" spans="28:28" x14ac:dyDescent="0.25">
      <c r="AB2859" s="428"/>
    </row>
    <row r="2860" spans="28:28" x14ac:dyDescent="0.25">
      <c r="AB2860" s="428"/>
    </row>
    <row r="2861" spans="28:28" x14ac:dyDescent="0.25">
      <c r="AB2861" s="428"/>
    </row>
    <row r="2862" spans="28:28" x14ac:dyDescent="0.25">
      <c r="AB2862" s="428"/>
    </row>
    <row r="2863" spans="28:28" x14ac:dyDescent="0.25">
      <c r="AB2863" s="428"/>
    </row>
    <row r="2864" spans="28:28" x14ac:dyDescent="0.25">
      <c r="AB2864" s="428"/>
    </row>
    <row r="2865" spans="28:28" x14ac:dyDescent="0.25">
      <c r="AB2865" s="428"/>
    </row>
    <row r="2866" spans="28:28" x14ac:dyDescent="0.25">
      <c r="AB2866" s="428"/>
    </row>
    <row r="2867" spans="28:28" x14ac:dyDescent="0.25">
      <c r="AB2867" s="428"/>
    </row>
    <row r="2868" spans="28:28" x14ac:dyDescent="0.25">
      <c r="AB2868" s="428"/>
    </row>
    <row r="2869" spans="28:28" x14ac:dyDescent="0.25">
      <c r="AB2869" s="428"/>
    </row>
    <row r="2870" spans="28:28" x14ac:dyDescent="0.25">
      <c r="AB2870" s="428"/>
    </row>
    <row r="2871" spans="28:28" x14ac:dyDescent="0.25">
      <c r="AB2871" s="428"/>
    </row>
    <row r="2872" spans="28:28" x14ac:dyDescent="0.25">
      <c r="AB2872" s="428"/>
    </row>
    <row r="2873" spans="28:28" x14ac:dyDescent="0.25">
      <c r="AB2873" s="428"/>
    </row>
    <row r="2874" spans="28:28" x14ac:dyDescent="0.25">
      <c r="AB2874" s="428"/>
    </row>
    <row r="2875" spans="28:28" x14ac:dyDescent="0.25">
      <c r="AB2875" s="428"/>
    </row>
    <row r="2876" spans="28:28" x14ac:dyDescent="0.25">
      <c r="AB2876" s="428"/>
    </row>
    <row r="2877" spans="28:28" x14ac:dyDescent="0.25">
      <c r="AB2877" s="428"/>
    </row>
    <row r="2878" spans="28:28" x14ac:dyDescent="0.25">
      <c r="AB2878" s="428"/>
    </row>
    <row r="2879" spans="28:28" x14ac:dyDescent="0.25">
      <c r="AB2879" s="428"/>
    </row>
    <row r="2880" spans="28:28" x14ac:dyDescent="0.25">
      <c r="AB2880" s="428"/>
    </row>
    <row r="2881" spans="28:28" x14ac:dyDescent="0.25">
      <c r="AB2881" s="428"/>
    </row>
    <row r="2882" spans="28:28" x14ac:dyDescent="0.25">
      <c r="AB2882" s="428"/>
    </row>
    <row r="2883" spans="28:28" x14ac:dyDescent="0.25">
      <c r="AB2883" s="428"/>
    </row>
    <row r="2884" spans="28:28" x14ac:dyDescent="0.25">
      <c r="AB2884" s="428"/>
    </row>
    <row r="2885" spans="28:28" x14ac:dyDescent="0.25">
      <c r="AB2885" s="428"/>
    </row>
    <row r="2886" spans="28:28" x14ac:dyDescent="0.25">
      <c r="AB2886" s="428"/>
    </row>
    <row r="2887" spans="28:28" x14ac:dyDescent="0.25">
      <c r="AB2887" s="428"/>
    </row>
    <row r="2888" spans="28:28" x14ac:dyDescent="0.25">
      <c r="AB2888" s="428"/>
    </row>
    <row r="2889" spans="28:28" x14ac:dyDescent="0.25">
      <c r="AB2889" s="428"/>
    </row>
    <row r="2890" spans="28:28" x14ac:dyDescent="0.25">
      <c r="AB2890" s="428"/>
    </row>
    <row r="2891" spans="28:28" x14ac:dyDescent="0.25">
      <c r="AB2891" s="428"/>
    </row>
    <row r="2892" spans="28:28" x14ac:dyDescent="0.25">
      <c r="AB2892" s="428"/>
    </row>
    <row r="2893" spans="28:28" x14ac:dyDescent="0.25">
      <c r="AB2893" s="428"/>
    </row>
    <row r="2894" spans="28:28" x14ac:dyDescent="0.25">
      <c r="AB2894" s="428"/>
    </row>
    <row r="2895" spans="28:28" x14ac:dyDescent="0.25">
      <c r="AB2895" s="428"/>
    </row>
    <row r="2896" spans="28:28" x14ac:dyDescent="0.25">
      <c r="AB2896" s="428"/>
    </row>
    <row r="2897" spans="28:28" x14ac:dyDescent="0.25">
      <c r="AB2897" s="428"/>
    </row>
    <row r="2898" spans="28:28" x14ac:dyDescent="0.25">
      <c r="AB2898" s="428"/>
    </row>
    <row r="2899" spans="28:28" x14ac:dyDescent="0.25">
      <c r="AB2899" s="428"/>
    </row>
    <row r="2900" spans="28:28" x14ac:dyDescent="0.25">
      <c r="AB2900" s="428"/>
    </row>
    <row r="2901" spans="28:28" x14ac:dyDescent="0.25">
      <c r="AB2901" s="428"/>
    </row>
    <row r="2902" spans="28:28" x14ac:dyDescent="0.25">
      <c r="AB2902" s="428"/>
    </row>
    <row r="2903" spans="28:28" x14ac:dyDescent="0.25">
      <c r="AB2903" s="428"/>
    </row>
    <row r="2904" spans="28:28" x14ac:dyDescent="0.25">
      <c r="AB2904" s="428"/>
    </row>
    <row r="2905" spans="28:28" x14ac:dyDescent="0.25">
      <c r="AB2905" s="428"/>
    </row>
    <row r="2906" spans="28:28" x14ac:dyDescent="0.25">
      <c r="AB2906" s="428"/>
    </row>
    <row r="2907" spans="28:28" x14ac:dyDescent="0.25">
      <c r="AB2907" s="428"/>
    </row>
    <row r="2908" spans="28:28" x14ac:dyDescent="0.25">
      <c r="AB2908" s="428"/>
    </row>
    <row r="2909" spans="28:28" x14ac:dyDescent="0.25">
      <c r="AB2909" s="428"/>
    </row>
    <row r="2910" spans="28:28" x14ac:dyDescent="0.25">
      <c r="AB2910" s="428"/>
    </row>
    <row r="2911" spans="28:28" x14ac:dyDescent="0.25">
      <c r="AB2911" s="428"/>
    </row>
    <row r="2912" spans="28:28" x14ac:dyDescent="0.25">
      <c r="AB2912" s="428"/>
    </row>
    <row r="2913" spans="28:28" x14ac:dyDescent="0.25">
      <c r="AB2913" s="428"/>
    </row>
    <row r="2914" spans="28:28" x14ac:dyDescent="0.25">
      <c r="AB2914" s="428"/>
    </row>
    <row r="2915" spans="28:28" x14ac:dyDescent="0.25">
      <c r="AB2915" s="428"/>
    </row>
    <row r="2916" spans="28:28" x14ac:dyDescent="0.25">
      <c r="AB2916" s="428"/>
    </row>
    <row r="2917" spans="28:28" x14ac:dyDescent="0.25">
      <c r="AB2917" s="428"/>
    </row>
    <row r="2918" spans="28:28" x14ac:dyDescent="0.25">
      <c r="AB2918" s="428"/>
    </row>
    <row r="2919" spans="28:28" x14ac:dyDescent="0.25">
      <c r="AB2919" s="428"/>
    </row>
    <row r="2920" spans="28:28" x14ac:dyDescent="0.25">
      <c r="AB2920" s="428"/>
    </row>
    <row r="2921" spans="28:28" x14ac:dyDescent="0.25">
      <c r="AB2921" s="428"/>
    </row>
    <row r="2922" spans="28:28" x14ac:dyDescent="0.25">
      <c r="AB2922" s="428"/>
    </row>
    <row r="2923" spans="28:28" x14ac:dyDescent="0.25">
      <c r="AB2923" s="428"/>
    </row>
    <row r="2924" spans="28:28" x14ac:dyDescent="0.25">
      <c r="AB2924" s="428"/>
    </row>
    <row r="2925" spans="28:28" x14ac:dyDescent="0.25">
      <c r="AB2925" s="428"/>
    </row>
    <row r="2926" spans="28:28" x14ac:dyDescent="0.25">
      <c r="AB2926" s="428"/>
    </row>
    <row r="2927" spans="28:28" x14ac:dyDescent="0.25">
      <c r="AB2927" s="428"/>
    </row>
    <row r="2928" spans="28:28" x14ac:dyDescent="0.25">
      <c r="AB2928" s="428"/>
    </row>
    <row r="2929" spans="28:28" x14ac:dyDescent="0.25">
      <c r="AB2929" s="428"/>
    </row>
    <row r="2930" spans="28:28" x14ac:dyDescent="0.25">
      <c r="AB2930" s="428"/>
    </row>
    <row r="2931" spans="28:28" x14ac:dyDescent="0.25">
      <c r="AB2931" s="428"/>
    </row>
    <row r="2932" spans="28:28" x14ac:dyDescent="0.25">
      <c r="AB2932" s="428"/>
    </row>
    <row r="2933" spans="28:28" x14ac:dyDescent="0.25">
      <c r="AB2933" s="428"/>
    </row>
    <row r="2934" spans="28:28" x14ac:dyDescent="0.25">
      <c r="AB2934" s="428"/>
    </row>
    <row r="2935" spans="28:28" x14ac:dyDescent="0.25">
      <c r="AB2935" s="428"/>
    </row>
    <row r="2936" spans="28:28" x14ac:dyDescent="0.25">
      <c r="AB2936" s="428"/>
    </row>
    <row r="2937" spans="28:28" x14ac:dyDescent="0.25">
      <c r="AB2937" s="428"/>
    </row>
    <row r="2938" spans="28:28" x14ac:dyDescent="0.25">
      <c r="AB2938" s="428"/>
    </row>
    <row r="2939" spans="28:28" x14ac:dyDescent="0.25">
      <c r="AB2939" s="428"/>
    </row>
    <row r="2940" spans="28:28" x14ac:dyDescent="0.25">
      <c r="AB2940" s="428"/>
    </row>
    <row r="2941" spans="28:28" x14ac:dyDescent="0.25">
      <c r="AB2941" s="428"/>
    </row>
    <row r="2942" spans="28:28" x14ac:dyDescent="0.25">
      <c r="AB2942" s="428"/>
    </row>
    <row r="2943" spans="28:28" x14ac:dyDescent="0.25">
      <c r="AB2943" s="428"/>
    </row>
    <row r="2944" spans="28:28" x14ac:dyDescent="0.25">
      <c r="AB2944" s="428"/>
    </row>
    <row r="2945" spans="28:28" x14ac:dyDescent="0.25">
      <c r="AB2945" s="428"/>
    </row>
    <row r="2946" spans="28:28" x14ac:dyDescent="0.25">
      <c r="AB2946" s="428"/>
    </row>
    <row r="2947" spans="28:28" x14ac:dyDescent="0.25">
      <c r="AB2947" s="428"/>
    </row>
    <row r="2948" spans="28:28" x14ac:dyDescent="0.25">
      <c r="AB2948" s="428"/>
    </row>
    <row r="2949" spans="28:28" x14ac:dyDescent="0.25">
      <c r="AB2949" s="428"/>
    </row>
    <row r="2950" spans="28:28" x14ac:dyDescent="0.25">
      <c r="AB2950" s="428"/>
    </row>
    <row r="2951" spans="28:28" x14ac:dyDescent="0.25">
      <c r="AB2951" s="428"/>
    </row>
    <row r="2952" spans="28:28" x14ac:dyDescent="0.25">
      <c r="AB2952" s="428"/>
    </row>
    <row r="2953" spans="28:28" x14ac:dyDescent="0.25">
      <c r="AB2953" s="428"/>
    </row>
    <row r="2954" spans="28:28" x14ac:dyDescent="0.25">
      <c r="AB2954" s="428"/>
    </row>
    <row r="2955" spans="28:28" x14ac:dyDescent="0.25">
      <c r="AB2955" s="428"/>
    </row>
    <row r="2956" spans="28:28" x14ac:dyDescent="0.25">
      <c r="AB2956" s="428"/>
    </row>
    <row r="2957" spans="28:28" x14ac:dyDescent="0.25">
      <c r="AB2957" s="428"/>
    </row>
    <row r="2958" spans="28:28" x14ac:dyDescent="0.25">
      <c r="AB2958" s="428"/>
    </row>
    <row r="2959" spans="28:28" x14ac:dyDescent="0.25">
      <c r="AB2959" s="428"/>
    </row>
    <row r="2960" spans="28:28" x14ac:dyDescent="0.25">
      <c r="AB2960" s="428"/>
    </row>
    <row r="2961" spans="28:28" x14ac:dyDescent="0.25">
      <c r="AB2961" s="428"/>
    </row>
    <row r="2962" spans="28:28" x14ac:dyDescent="0.25">
      <c r="AB2962" s="428"/>
    </row>
    <row r="2963" spans="28:28" x14ac:dyDescent="0.25">
      <c r="AB2963" s="428"/>
    </row>
    <row r="2964" spans="28:28" x14ac:dyDescent="0.25">
      <c r="AB2964" s="428"/>
    </row>
    <row r="2965" spans="28:28" x14ac:dyDescent="0.25">
      <c r="AB2965" s="428"/>
    </row>
    <row r="2966" spans="28:28" x14ac:dyDescent="0.25">
      <c r="AB2966" s="428"/>
    </row>
    <row r="2967" spans="28:28" x14ac:dyDescent="0.25">
      <c r="AB2967" s="428"/>
    </row>
    <row r="2968" spans="28:28" x14ac:dyDescent="0.25">
      <c r="AB2968" s="428"/>
    </row>
    <row r="2969" spans="28:28" x14ac:dyDescent="0.25">
      <c r="AB2969" s="428"/>
    </row>
    <row r="2970" spans="28:28" x14ac:dyDescent="0.25">
      <c r="AB2970" s="428"/>
    </row>
    <row r="2971" spans="28:28" x14ac:dyDescent="0.25">
      <c r="AB2971" s="428"/>
    </row>
    <row r="2972" spans="28:28" x14ac:dyDescent="0.25">
      <c r="AB2972" s="428"/>
    </row>
    <row r="2973" spans="28:28" x14ac:dyDescent="0.25">
      <c r="AB2973" s="428"/>
    </row>
    <row r="2974" spans="28:28" x14ac:dyDescent="0.25">
      <c r="AB2974" s="428"/>
    </row>
    <row r="2975" spans="28:28" x14ac:dyDescent="0.25">
      <c r="AB2975" s="428"/>
    </row>
    <row r="2976" spans="28:28" x14ac:dyDescent="0.25">
      <c r="AB2976" s="428"/>
    </row>
    <row r="2977" spans="28:28" x14ac:dyDescent="0.25">
      <c r="AB2977" s="428"/>
    </row>
    <row r="2978" spans="28:28" x14ac:dyDescent="0.25">
      <c r="AB2978" s="428"/>
    </row>
    <row r="2979" spans="28:28" x14ac:dyDescent="0.25">
      <c r="AB2979" s="428"/>
    </row>
    <row r="2980" spans="28:28" x14ac:dyDescent="0.25">
      <c r="AB2980" s="428"/>
    </row>
    <row r="2981" spans="28:28" x14ac:dyDescent="0.25">
      <c r="AB2981" s="428"/>
    </row>
    <row r="2982" spans="28:28" x14ac:dyDescent="0.25">
      <c r="AB2982" s="428"/>
    </row>
    <row r="2983" spans="28:28" x14ac:dyDescent="0.25">
      <c r="AB2983" s="428"/>
    </row>
    <row r="2984" spans="28:28" x14ac:dyDescent="0.25">
      <c r="AB2984" s="428"/>
    </row>
    <row r="2985" spans="28:28" x14ac:dyDescent="0.25">
      <c r="AB2985" s="428"/>
    </row>
    <row r="2986" spans="28:28" x14ac:dyDescent="0.25">
      <c r="AB2986" s="428"/>
    </row>
    <row r="2987" spans="28:28" x14ac:dyDescent="0.25">
      <c r="AB2987" s="428"/>
    </row>
    <row r="2988" spans="28:28" x14ac:dyDescent="0.25">
      <c r="AB2988" s="428"/>
    </row>
    <row r="2989" spans="28:28" x14ac:dyDescent="0.25">
      <c r="AB2989" s="428"/>
    </row>
    <row r="2990" spans="28:28" x14ac:dyDescent="0.25">
      <c r="AB2990" s="428"/>
    </row>
    <row r="2991" spans="28:28" x14ac:dyDescent="0.25">
      <c r="AB2991" s="428"/>
    </row>
    <row r="2992" spans="28:28" x14ac:dyDescent="0.25">
      <c r="AB2992" s="428"/>
    </row>
    <row r="2993" spans="28:28" x14ac:dyDescent="0.25">
      <c r="AB2993" s="428"/>
    </row>
    <row r="2994" spans="28:28" x14ac:dyDescent="0.25">
      <c r="AB2994" s="428"/>
    </row>
    <row r="2995" spans="28:28" x14ac:dyDescent="0.25">
      <c r="AB2995" s="428"/>
    </row>
    <row r="2996" spans="28:28" x14ac:dyDescent="0.25">
      <c r="AB2996" s="428"/>
    </row>
    <row r="2997" spans="28:28" x14ac:dyDescent="0.25">
      <c r="AB2997" s="428"/>
    </row>
    <row r="2998" spans="28:28" x14ac:dyDescent="0.25">
      <c r="AB2998" s="428"/>
    </row>
    <row r="2999" spans="28:28" x14ac:dyDescent="0.25">
      <c r="AB2999" s="428"/>
    </row>
    <row r="3000" spans="28:28" x14ac:dyDescent="0.25">
      <c r="AB3000" s="428"/>
    </row>
    <row r="3001" spans="28:28" x14ac:dyDescent="0.25">
      <c r="AB3001" s="428"/>
    </row>
    <row r="3002" spans="28:28" x14ac:dyDescent="0.25">
      <c r="AB3002" s="428"/>
    </row>
    <row r="3003" spans="28:28" x14ac:dyDescent="0.25">
      <c r="AB3003" s="428"/>
    </row>
    <row r="3004" spans="28:28" x14ac:dyDescent="0.25">
      <c r="AB3004" s="428"/>
    </row>
    <row r="3005" spans="28:28" x14ac:dyDescent="0.25">
      <c r="AB3005" s="428"/>
    </row>
    <row r="3006" spans="28:28" x14ac:dyDescent="0.25">
      <c r="AB3006" s="428"/>
    </row>
    <row r="3007" spans="28:28" x14ac:dyDescent="0.25">
      <c r="AB3007" s="428"/>
    </row>
    <row r="3008" spans="28:28" x14ac:dyDescent="0.25">
      <c r="AB3008" s="428"/>
    </row>
    <row r="3009" spans="28:28" x14ac:dyDescent="0.25">
      <c r="AB3009" s="428"/>
    </row>
    <row r="3010" spans="28:28" x14ac:dyDescent="0.25">
      <c r="AB3010" s="428"/>
    </row>
    <row r="3011" spans="28:28" x14ac:dyDescent="0.25">
      <c r="AB3011" s="428"/>
    </row>
    <row r="3012" spans="28:28" x14ac:dyDescent="0.25">
      <c r="AB3012" s="428"/>
    </row>
    <row r="3013" spans="28:28" x14ac:dyDescent="0.25">
      <c r="AB3013" s="428"/>
    </row>
    <row r="3014" spans="28:28" x14ac:dyDescent="0.25">
      <c r="AB3014" s="428"/>
    </row>
    <row r="3015" spans="28:28" x14ac:dyDescent="0.25">
      <c r="AB3015" s="428"/>
    </row>
    <row r="3016" spans="28:28" x14ac:dyDescent="0.25">
      <c r="AB3016" s="428"/>
    </row>
    <row r="3017" spans="28:28" x14ac:dyDescent="0.25">
      <c r="AB3017" s="428"/>
    </row>
    <row r="3018" spans="28:28" x14ac:dyDescent="0.25">
      <c r="AB3018" s="428"/>
    </row>
    <row r="3019" spans="28:28" x14ac:dyDescent="0.25">
      <c r="AB3019" s="428"/>
    </row>
    <row r="3020" spans="28:28" x14ac:dyDescent="0.25">
      <c r="AB3020" s="428"/>
    </row>
    <row r="3021" spans="28:28" x14ac:dyDescent="0.25">
      <c r="AB3021" s="428"/>
    </row>
    <row r="3022" spans="28:28" x14ac:dyDescent="0.25">
      <c r="AB3022" s="428"/>
    </row>
    <row r="3023" spans="28:28" x14ac:dyDescent="0.25">
      <c r="AB3023" s="428"/>
    </row>
    <row r="3024" spans="28:28" x14ac:dyDescent="0.25">
      <c r="AB3024" s="428"/>
    </row>
    <row r="3025" spans="28:28" x14ac:dyDescent="0.25">
      <c r="AB3025" s="428"/>
    </row>
    <row r="3026" spans="28:28" x14ac:dyDescent="0.25">
      <c r="AB3026" s="428"/>
    </row>
    <row r="3027" spans="28:28" x14ac:dyDescent="0.25">
      <c r="AB3027" s="428"/>
    </row>
    <row r="3028" spans="28:28" x14ac:dyDescent="0.25">
      <c r="AB3028" s="428"/>
    </row>
    <row r="3029" spans="28:28" x14ac:dyDescent="0.25">
      <c r="AB3029" s="428"/>
    </row>
    <row r="3030" spans="28:28" x14ac:dyDescent="0.25">
      <c r="AB3030" s="428"/>
    </row>
    <row r="3031" spans="28:28" x14ac:dyDescent="0.25">
      <c r="AB3031" s="428"/>
    </row>
    <row r="3032" spans="28:28" x14ac:dyDescent="0.25">
      <c r="AB3032" s="428"/>
    </row>
    <row r="3033" spans="28:28" x14ac:dyDescent="0.25">
      <c r="AB3033" s="428"/>
    </row>
    <row r="3034" spans="28:28" x14ac:dyDescent="0.25">
      <c r="AB3034" s="428"/>
    </row>
    <row r="3035" spans="28:28" x14ac:dyDescent="0.25">
      <c r="AB3035" s="428"/>
    </row>
    <row r="3036" spans="28:28" x14ac:dyDescent="0.25">
      <c r="AB3036" s="428"/>
    </row>
    <row r="3037" spans="28:28" x14ac:dyDescent="0.25">
      <c r="AB3037" s="428"/>
    </row>
    <row r="3038" spans="28:28" x14ac:dyDescent="0.25">
      <c r="AB3038" s="428"/>
    </row>
    <row r="3039" spans="28:28" x14ac:dyDescent="0.25">
      <c r="AB3039" s="428"/>
    </row>
    <row r="3040" spans="28:28" x14ac:dyDescent="0.25">
      <c r="AB3040" s="428"/>
    </row>
    <row r="3041" spans="28:28" x14ac:dyDescent="0.25">
      <c r="AB3041" s="428"/>
    </row>
    <row r="3042" spans="28:28" x14ac:dyDescent="0.25">
      <c r="AB3042" s="428"/>
    </row>
    <row r="3043" spans="28:28" x14ac:dyDescent="0.25">
      <c r="AB3043" s="428"/>
    </row>
    <row r="3044" spans="28:28" x14ac:dyDescent="0.25">
      <c r="AB3044" s="428"/>
    </row>
    <row r="3045" spans="28:28" x14ac:dyDescent="0.25">
      <c r="AB3045" s="428"/>
    </row>
    <row r="3046" spans="28:28" x14ac:dyDescent="0.25">
      <c r="AB3046" s="428"/>
    </row>
    <row r="3047" spans="28:28" x14ac:dyDescent="0.25">
      <c r="AB3047" s="428"/>
    </row>
    <row r="3048" spans="28:28" x14ac:dyDescent="0.25">
      <c r="AB3048" s="428"/>
    </row>
    <row r="3049" spans="28:28" x14ac:dyDescent="0.25">
      <c r="AB3049" s="428"/>
    </row>
    <row r="3050" spans="28:28" x14ac:dyDescent="0.25">
      <c r="AB3050" s="428"/>
    </row>
    <row r="3051" spans="28:28" x14ac:dyDescent="0.25">
      <c r="AB3051" s="428"/>
    </row>
    <row r="3052" spans="28:28" x14ac:dyDescent="0.25">
      <c r="AB3052" s="428"/>
    </row>
    <row r="3053" spans="28:28" x14ac:dyDescent="0.25">
      <c r="AB3053" s="428"/>
    </row>
    <row r="3054" spans="28:28" x14ac:dyDescent="0.25">
      <c r="AB3054" s="428"/>
    </row>
    <row r="3055" spans="28:28" x14ac:dyDescent="0.25">
      <c r="AB3055" s="428"/>
    </row>
    <row r="3056" spans="28:28" x14ac:dyDescent="0.25">
      <c r="AB3056" s="428"/>
    </row>
    <row r="3057" spans="28:28" x14ac:dyDescent="0.25">
      <c r="AB3057" s="428"/>
    </row>
    <row r="3058" spans="28:28" x14ac:dyDescent="0.25">
      <c r="AB3058" s="428"/>
    </row>
    <row r="3059" spans="28:28" x14ac:dyDescent="0.25">
      <c r="AB3059" s="428"/>
    </row>
    <row r="3060" spans="28:28" x14ac:dyDescent="0.25">
      <c r="AB3060" s="428"/>
    </row>
    <row r="3061" spans="28:28" x14ac:dyDescent="0.25">
      <c r="AB3061" s="428"/>
    </row>
    <row r="3062" spans="28:28" x14ac:dyDescent="0.25">
      <c r="AB3062" s="428"/>
    </row>
    <row r="3063" spans="28:28" x14ac:dyDescent="0.25">
      <c r="AB3063" s="428"/>
    </row>
    <row r="3064" spans="28:28" x14ac:dyDescent="0.25">
      <c r="AB3064" s="428"/>
    </row>
    <row r="3065" spans="28:28" x14ac:dyDescent="0.25">
      <c r="AB3065" s="428"/>
    </row>
    <row r="3066" spans="28:28" x14ac:dyDescent="0.25">
      <c r="AB3066" s="428"/>
    </row>
    <row r="3067" spans="28:28" x14ac:dyDescent="0.25">
      <c r="AB3067" s="428"/>
    </row>
    <row r="3068" spans="28:28" x14ac:dyDescent="0.25">
      <c r="AB3068" s="428"/>
    </row>
    <row r="3069" spans="28:28" x14ac:dyDescent="0.25">
      <c r="AB3069" s="428"/>
    </row>
    <row r="3070" spans="28:28" x14ac:dyDescent="0.25">
      <c r="AB3070" s="428"/>
    </row>
    <row r="3071" spans="28:28" x14ac:dyDescent="0.25">
      <c r="AB3071" s="428"/>
    </row>
    <row r="3072" spans="28:28" x14ac:dyDescent="0.25">
      <c r="AB3072" s="428"/>
    </row>
    <row r="3073" spans="28:28" x14ac:dyDescent="0.25">
      <c r="AB3073" s="428"/>
    </row>
    <row r="3074" spans="28:28" x14ac:dyDescent="0.25">
      <c r="AB3074" s="428"/>
    </row>
    <row r="3075" spans="28:28" x14ac:dyDescent="0.25">
      <c r="AB3075" s="428"/>
    </row>
    <row r="3076" spans="28:28" x14ac:dyDescent="0.25">
      <c r="AB3076" s="428"/>
    </row>
    <row r="3077" spans="28:28" x14ac:dyDescent="0.25">
      <c r="AB3077" s="428"/>
    </row>
    <row r="3078" spans="28:28" x14ac:dyDescent="0.25">
      <c r="AB3078" s="428"/>
    </row>
    <row r="3079" spans="28:28" x14ac:dyDescent="0.25">
      <c r="AB3079" s="428"/>
    </row>
    <row r="3080" spans="28:28" x14ac:dyDescent="0.25">
      <c r="AB3080" s="428"/>
    </row>
    <row r="3081" spans="28:28" x14ac:dyDescent="0.25">
      <c r="AB3081" s="428"/>
    </row>
    <row r="3082" spans="28:28" x14ac:dyDescent="0.25">
      <c r="AB3082" s="428"/>
    </row>
    <row r="3083" spans="28:28" x14ac:dyDescent="0.25">
      <c r="AB3083" s="428"/>
    </row>
    <row r="3084" spans="28:28" x14ac:dyDescent="0.25">
      <c r="AB3084" s="428"/>
    </row>
    <row r="3085" spans="28:28" x14ac:dyDescent="0.25">
      <c r="AB3085" s="428"/>
    </row>
    <row r="3086" spans="28:28" x14ac:dyDescent="0.25">
      <c r="AB3086" s="428"/>
    </row>
    <row r="3087" spans="28:28" x14ac:dyDescent="0.25">
      <c r="AB3087" s="428"/>
    </row>
    <row r="3088" spans="28:28" x14ac:dyDescent="0.25">
      <c r="AB3088" s="428"/>
    </row>
    <row r="3089" spans="28:28" x14ac:dyDescent="0.25">
      <c r="AB3089" s="428"/>
    </row>
    <row r="3090" spans="28:28" x14ac:dyDescent="0.25">
      <c r="AB3090" s="428"/>
    </row>
    <row r="3091" spans="28:28" x14ac:dyDescent="0.25">
      <c r="AB3091" s="428"/>
    </row>
    <row r="3092" spans="28:28" x14ac:dyDescent="0.25">
      <c r="AB3092" s="428"/>
    </row>
    <row r="3093" spans="28:28" x14ac:dyDescent="0.25">
      <c r="AB3093" s="428"/>
    </row>
    <row r="3094" spans="28:28" x14ac:dyDescent="0.25">
      <c r="AB3094" s="428"/>
    </row>
    <row r="3095" spans="28:28" x14ac:dyDescent="0.25">
      <c r="AB3095" s="428"/>
    </row>
    <row r="3096" spans="28:28" x14ac:dyDescent="0.25">
      <c r="AB3096" s="428"/>
    </row>
    <row r="3097" spans="28:28" x14ac:dyDescent="0.25">
      <c r="AB3097" s="428"/>
    </row>
    <row r="3098" spans="28:28" x14ac:dyDescent="0.25">
      <c r="AB3098" s="428"/>
    </row>
    <row r="3099" spans="28:28" x14ac:dyDescent="0.25">
      <c r="AB3099" s="428"/>
    </row>
    <row r="3100" spans="28:28" x14ac:dyDescent="0.25">
      <c r="AB3100" s="428"/>
    </row>
    <row r="3101" spans="28:28" x14ac:dyDescent="0.25">
      <c r="AB3101" s="428"/>
    </row>
    <row r="3102" spans="28:28" x14ac:dyDescent="0.25">
      <c r="AB3102" s="428"/>
    </row>
    <row r="3103" spans="28:28" x14ac:dyDescent="0.25">
      <c r="AB3103" s="428"/>
    </row>
    <row r="3104" spans="28:28" x14ac:dyDescent="0.25">
      <c r="AB3104" s="428"/>
    </row>
    <row r="3105" spans="28:28" x14ac:dyDescent="0.25">
      <c r="AB3105" s="428"/>
    </row>
    <row r="3106" spans="28:28" x14ac:dyDescent="0.25">
      <c r="AB3106" s="428"/>
    </row>
    <row r="3107" spans="28:28" x14ac:dyDescent="0.25">
      <c r="AB3107" s="428"/>
    </row>
    <row r="3108" spans="28:28" x14ac:dyDescent="0.25">
      <c r="AB3108" s="428"/>
    </row>
    <row r="3109" spans="28:28" x14ac:dyDescent="0.25">
      <c r="AB3109" s="428"/>
    </row>
    <row r="3110" spans="28:28" x14ac:dyDescent="0.25">
      <c r="AB3110" s="428"/>
    </row>
    <row r="3111" spans="28:28" x14ac:dyDescent="0.25">
      <c r="AB3111" s="428"/>
    </row>
    <row r="3112" spans="28:28" x14ac:dyDescent="0.25">
      <c r="AB3112" s="428"/>
    </row>
    <row r="3113" spans="28:28" x14ac:dyDescent="0.25">
      <c r="AB3113" s="428"/>
    </row>
    <row r="3114" spans="28:28" x14ac:dyDescent="0.25">
      <c r="AB3114" s="428"/>
    </row>
    <row r="3115" spans="28:28" x14ac:dyDescent="0.25">
      <c r="AB3115" s="428"/>
    </row>
    <row r="3116" spans="28:28" x14ac:dyDescent="0.25">
      <c r="AB3116" s="428"/>
    </row>
    <row r="3117" spans="28:28" x14ac:dyDescent="0.25">
      <c r="AB3117" s="428"/>
    </row>
    <row r="3118" spans="28:28" x14ac:dyDescent="0.25">
      <c r="AB3118" s="428"/>
    </row>
    <row r="3119" spans="28:28" x14ac:dyDescent="0.25">
      <c r="AB3119" s="428"/>
    </row>
    <row r="3120" spans="28:28" x14ac:dyDescent="0.25">
      <c r="AB3120" s="428"/>
    </row>
    <row r="3121" spans="28:28" x14ac:dyDescent="0.25">
      <c r="AB3121" s="428"/>
    </row>
    <row r="3122" spans="28:28" x14ac:dyDescent="0.25">
      <c r="AB3122" s="428"/>
    </row>
    <row r="3123" spans="28:28" x14ac:dyDescent="0.25">
      <c r="AB3123" s="428"/>
    </row>
    <row r="3124" spans="28:28" x14ac:dyDescent="0.25">
      <c r="AB3124" s="428"/>
    </row>
    <row r="3125" spans="28:28" x14ac:dyDescent="0.25">
      <c r="AB3125" s="428"/>
    </row>
    <row r="3126" spans="28:28" x14ac:dyDescent="0.25">
      <c r="AB3126" s="428"/>
    </row>
    <row r="3127" spans="28:28" x14ac:dyDescent="0.25">
      <c r="AB3127" s="428"/>
    </row>
    <row r="3128" spans="28:28" x14ac:dyDescent="0.25">
      <c r="AB3128" s="428"/>
    </row>
    <row r="3129" spans="28:28" x14ac:dyDescent="0.25">
      <c r="AB3129" s="428"/>
    </row>
    <row r="3130" spans="28:28" x14ac:dyDescent="0.25">
      <c r="AB3130" s="428"/>
    </row>
    <row r="3131" spans="28:28" x14ac:dyDescent="0.25">
      <c r="AB3131" s="428"/>
    </row>
    <row r="3132" spans="28:28" x14ac:dyDescent="0.25">
      <c r="AB3132" s="428"/>
    </row>
    <row r="3133" spans="28:28" x14ac:dyDescent="0.25">
      <c r="AB3133" s="428"/>
    </row>
    <row r="3134" spans="28:28" x14ac:dyDescent="0.25">
      <c r="AB3134" s="428"/>
    </row>
    <row r="3135" spans="28:28" x14ac:dyDescent="0.25">
      <c r="AB3135" s="428"/>
    </row>
    <row r="3136" spans="28:28" x14ac:dyDescent="0.25">
      <c r="AB3136" s="428"/>
    </row>
    <row r="3137" spans="28:28" x14ac:dyDescent="0.25">
      <c r="AB3137" s="428"/>
    </row>
    <row r="3138" spans="28:28" x14ac:dyDescent="0.25">
      <c r="AB3138" s="428"/>
    </row>
    <row r="3139" spans="28:28" x14ac:dyDescent="0.25">
      <c r="AB3139" s="428"/>
    </row>
    <row r="3140" spans="28:28" x14ac:dyDescent="0.25">
      <c r="AB3140" s="428"/>
    </row>
    <row r="3141" spans="28:28" x14ac:dyDescent="0.25">
      <c r="AB3141" s="428"/>
    </row>
    <row r="3142" spans="28:28" x14ac:dyDescent="0.25">
      <c r="AB3142" s="428"/>
    </row>
    <row r="3143" spans="28:28" x14ac:dyDescent="0.25">
      <c r="AB3143" s="428"/>
    </row>
    <row r="3144" spans="28:28" x14ac:dyDescent="0.25">
      <c r="AB3144" s="428"/>
    </row>
    <row r="3145" spans="28:28" x14ac:dyDescent="0.25">
      <c r="AB3145" s="428"/>
    </row>
    <row r="3146" spans="28:28" x14ac:dyDescent="0.25">
      <c r="AB3146" s="428"/>
    </row>
    <row r="3147" spans="28:28" x14ac:dyDescent="0.25">
      <c r="AB3147" s="428"/>
    </row>
    <row r="3148" spans="28:28" x14ac:dyDescent="0.25">
      <c r="AB3148" s="428"/>
    </row>
    <row r="3149" spans="28:28" x14ac:dyDescent="0.25">
      <c r="AB3149" s="428"/>
    </row>
    <row r="3150" spans="28:28" x14ac:dyDescent="0.25">
      <c r="AB3150" s="428"/>
    </row>
    <row r="3151" spans="28:28" x14ac:dyDescent="0.25">
      <c r="AB3151" s="428"/>
    </row>
    <row r="3152" spans="28:28" x14ac:dyDescent="0.25">
      <c r="AB3152" s="428"/>
    </row>
    <row r="3153" spans="28:28" x14ac:dyDescent="0.25">
      <c r="AB3153" s="428"/>
    </row>
    <row r="3154" spans="28:28" x14ac:dyDescent="0.25">
      <c r="AB3154" s="428"/>
    </row>
    <row r="3155" spans="28:28" x14ac:dyDescent="0.25">
      <c r="AB3155" s="428"/>
    </row>
    <row r="3156" spans="28:28" x14ac:dyDescent="0.25">
      <c r="AB3156" s="428"/>
    </row>
    <row r="3157" spans="28:28" x14ac:dyDescent="0.25">
      <c r="AB3157" s="428"/>
    </row>
    <row r="3158" spans="28:28" x14ac:dyDescent="0.25">
      <c r="AB3158" s="428"/>
    </row>
    <row r="3159" spans="28:28" x14ac:dyDescent="0.25">
      <c r="AB3159" s="428"/>
    </row>
    <row r="3160" spans="28:28" x14ac:dyDescent="0.25">
      <c r="AB3160" s="428"/>
    </row>
    <row r="3161" spans="28:28" x14ac:dyDescent="0.25">
      <c r="AB3161" s="428"/>
    </row>
    <row r="3162" spans="28:28" x14ac:dyDescent="0.25">
      <c r="AB3162" s="428"/>
    </row>
    <row r="3163" spans="28:28" x14ac:dyDescent="0.25">
      <c r="AB3163" s="428"/>
    </row>
    <row r="3164" spans="28:28" x14ac:dyDescent="0.25">
      <c r="AB3164" s="428"/>
    </row>
    <row r="3165" spans="28:28" x14ac:dyDescent="0.25">
      <c r="AB3165" s="428"/>
    </row>
    <row r="3166" spans="28:28" x14ac:dyDescent="0.25">
      <c r="AB3166" s="428"/>
    </row>
    <row r="3167" spans="28:28" x14ac:dyDescent="0.25">
      <c r="AB3167" s="428"/>
    </row>
    <row r="3168" spans="28:28" x14ac:dyDescent="0.25">
      <c r="AB3168" s="428"/>
    </row>
    <row r="3169" spans="28:28" x14ac:dyDescent="0.25">
      <c r="AB3169" s="428"/>
    </row>
    <row r="3170" spans="28:28" x14ac:dyDescent="0.25">
      <c r="AB3170" s="428"/>
    </row>
    <row r="3171" spans="28:28" x14ac:dyDescent="0.25">
      <c r="AB3171" s="428"/>
    </row>
    <row r="3172" spans="28:28" x14ac:dyDescent="0.25">
      <c r="AB3172" s="428"/>
    </row>
    <row r="3173" spans="28:28" x14ac:dyDescent="0.25">
      <c r="AB3173" s="428"/>
    </row>
    <row r="3174" spans="28:28" x14ac:dyDescent="0.25">
      <c r="AB3174" s="428"/>
    </row>
    <row r="3175" spans="28:28" x14ac:dyDescent="0.25">
      <c r="AB3175" s="428"/>
    </row>
    <row r="3176" spans="28:28" x14ac:dyDescent="0.25">
      <c r="AB3176" s="428"/>
    </row>
    <row r="3177" spans="28:28" x14ac:dyDescent="0.25">
      <c r="AB3177" s="428"/>
    </row>
    <row r="3178" spans="28:28" x14ac:dyDescent="0.25">
      <c r="AB3178" s="428"/>
    </row>
    <row r="3179" spans="28:28" x14ac:dyDescent="0.25">
      <c r="AB3179" s="428"/>
    </row>
    <row r="3180" spans="28:28" x14ac:dyDescent="0.25">
      <c r="AB3180" s="428"/>
    </row>
    <row r="3181" spans="28:28" x14ac:dyDescent="0.25">
      <c r="AB3181" s="428"/>
    </row>
    <row r="3182" spans="28:28" x14ac:dyDescent="0.25">
      <c r="AB3182" s="428"/>
    </row>
    <row r="3183" spans="28:28" x14ac:dyDescent="0.25">
      <c r="AB3183" s="428"/>
    </row>
    <row r="3184" spans="28:28" x14ac:dyDescent="0.25">
      <c r="AB3184" s="428"/>
    </row>
    <row r="3185" spans="28:28" x14ac:dyDescent="0.25">
      <c r="AB3185" s="428"/>
    </row>
    <row r="3186" spans="28:28" x14ac:dyDescent="0.25">
      <c r="AB3186" s="428"/>
    </row>
    <row r="3187" spans="28:28" x14ac:dyDescent="0.25">
      <c r="AB3187" s="428"/>
    </row>
    <row r="3188" spans="28:28" x14ac:dyDescent="0.25">
      <c r="AB3188" s="428"/>
    </row>
    <row r="3189" spans="28:28" x14ac:dyDescent="0.25">
      <c r="AB3189" s="428"/>
    </row>
    <row r="3190" spans="28:28" x14ac:dyDescent="0.25">
      <c r="AB3190" s="428"/>
    </row>
    <row r="3191" spans="28:28" x14ac:dyDescent="0.25">
      <c r="AB3191" s="428"/>
    </row>
    <row r="3192" spans="28:28" x14ac:dyDescent="0.25">
      <c r="AB3192" s="428"/>
    </row>
    <row r="3193" spans="28:28" x14ac:dyDescent="0.25">
      <c r="AB3193" s="428"/>
    </row>
    <row r="3194" spans="28:28" x14ac:dyDescent="0.25">
      <c r="AB3194" s="428"/>
    </row>
    <row r="3195" spans="28:28" x14ac:dyDescent="0.25">
      <c r="AB3195" s="428"/>
    </row>
    <row r="3196" spans="28:28" x14ac:dyDescent="0.25">
      <c r="AB3196" s="428"/>
    </row>
    <row r="3197" spans="28:28" x14ac:dyDescent="0.25">
      <c r="AB3197" s="428"/>
    </row>
    <row r="3198" spans="28:28" x14ac:dyDescent="0.25">
      <c r="AB3198" s="428"/>
    </row>
    <row r="3199" spans="28:28" x14ac:dyDescent="0.25">
      <c r="AB3199" s="428"/>
    </row>
    <row r="3200" spans="28:28" x14ac:dyDescent="0.25">
      <c r="AB3200" s="428"/>
    </row>
    <row r="3201" spans="28:28" x14ac:dyDescent="0.25">
      <c r="AB3201" s="428"/>
    </row>
    <row r="3202" spans="28:28" x14ac:dyDescent="0.25">
      <c r="AB3202" s="428"/>
    </row>
    <row r="3203" spans="28:28" x14ac:dyDescent="0.25">
      <c r="AB3203" s="428"/>
    </row>
    <row r="3204" spans="28:28" x14ac:dyDescent="0.25">
      <c r="AB3204" s="428"/>
    </row>
    <row r="3205" spans="28:28" x14ac:dyDescent="0.25">
      <c r="AB3205" s="428"/>
    </row>
    <row r="3206" spans="28:28" x14ac:dyDescent="0.25">
      <c r="AB3206" s="428"/>
    </row>
    <row r="3207" spans="28:28" x14ac:dyDescent="0.25">
      <c r="AB3207" s="428"/>
    </row>
    <row r="3208" spans="28:28" x14ac:dyDescent="0.25">
      <c r="AB3208" s="428"/>
    </row>
    <row r="3209" spans="28:28" x14ac:dyDescent="0.25">
      <c r="AB3209" s="428"/>
    </row>
    <row r="3210" spans="28:28" x14ac:dyDescent="0.25">
      <c r="AB3210" s="428"/>
    </row>
    <row r="3211" spans="28:28" x14ac:dyDescent="0.25">
      <c r="AB3211" s="428"/>
    </row>
    <row r="3212" spans="28:28" x14ac:dyDescent="0.25">
      <c r="AB3212" s="428"/>
    </row>
    <row r="3213" spans="28:28" x14ac:dyDescent="0.25">
      <c r="AB3213" s="428"/>
    </row>
    <row r="3214" spans="28:28" x14ac:dyDescent="0.25">
      <c r="AB3214" s="428"/>
    </row>
    <row r="3215" spans="28:28" x14ac:dyDescent="0.25">
      <c r="AB3215" s="428"/>
    </row>
    <row r="3216" spans="28:28" x14ac:dyDescent="0.25">
      <c r="AB3216" s="428"/>
    </row>
    <row r="3217" spans="28:28" x14ac:dyDescent="0.25">
      <c r="AB3217" s="428"/>
    </row>
    <row r="3218" spans="28:28" x14ac:dyDescent="0.25">
      <c r="AB3218" s="428"/>
    </row>
    <row r="3219" spans="28:28" x14ac:dyDescent="0.25">
      <c r="AB3219" s="428"/>
    </row>
    <row r="3220" spans="28:28" x14ac:dyDescent="0.25">
      <c r="AB3220" s="428"/>
    </row>
    <row r="3221" spans="28:28" x14ac:dyDescent="0.25">
      <c r="AB3221" s="428"/>
    </row>
    <row r="3222" spans="28:28" x14ac:dyDescent="0.25">
      <c r="AB3222" s="428"/>
    </row>
    <row r="3223" spans="28:28" x14ac:dyDescent="0.25">
      <c r="AB3223" s="428"/>
    </row>
    <row r="3224" spans="28:28" x14ac:dyDescent="0.25">
      <c r="AB3224" s="428"/>
    </row>
    <row r="3225" spans="28:28" x14ac:dyDescent="0.25">
      <c r="AB3225" s="428"/>
    </row>
    <row r="3226" spans="28:28" x14ac:dyDescent="0.25">
      <c r="AB3226" s="428"/>
    </row>
    <row r="3227" spans="28:28" x14ac:dyDescent="0.25">
      <c r="AB3227" s="428"/>
    </row>
    <row r="3228" spans="28:28" x14ac:dyDescent="0.25">
      <c r="AB3228" s="428"/>
    </row>
    <row r="3229" spans="28:28" x14ac:dyDescent="0.25">
      <c r="AB3229" s="428"/>
    </row>
    <row r="3230" spans="28:28" x14ac:dyDescent="0.25">
      <c r="AB3230" s="428"/>
    </row>
    <row r="3231" spans="28:28" x14ac:dyDescent="0.25">
      <c r="AB3231" s="428"/>
    </row>
    <row r="3232" spans="28:28" x14ac:dyDescent="0.25">
      <c r="AB3232" s="428"/>
    </row>
    <row r="3233" spans="28:28" x14ac:dyDescent="0.25">
      <c r="AB3233" s="428"/>
    </row>
    <row r="3234" spans="28:28" x14ac:dyDescent="0.25">
      <c r="AB3234" s="428"/>
    </row>
    <row r="3235" spans="28:28" x14ac:dyDescent="0.25">
      <c r="AB3235" s="428"/>
    </row>
    <row r="3236" spans="28:28" x14ac:dyDescent="0.25">
      <c r="AB3236" s="428"/>
    </row>
    <row r="3237" spans="28:28" x14ac:dyDescent="0.25">
      <c r="AB3237" s="428"/>
    </row>
    <row r="3238" spans="28:28" x14ac:dyDescent="0.25">
      <c r="AB3238" s="428"/>
    </row>
    <row r="3239" spans="28:28" x14ac:dyDescent="0.25">
      <c r="AB3239" s="428"/>
    </row>
    <row r="3240" spans="28:28" x14ac:dyDescent="0.25">
      <c r="AB3240" s="428"/>
    </row>
    <row r="3241" spans="28:28" x14ac:dyDescent="0.25">
      <c r="AB3241" s="428"/>
    </row>
    <row r="3242" spans="28:28" x14ac:dyDescent="0.25">
      <c r="AB3242" s="428"/>
    </row>
    <row r="3243" spans="28:28" x14ac:dyDescent="0.25">
      <c r="AB3243" s="428"/>
    </row>
    <row r="3244" spans="28:28" x14ac:dyDescent="0.25">
      <c r="AB3244" s="428"/>
    </row>
    <row r="3245" spans="28:28" x14ac:dyDescent="0.25">
      <c r="AB3245" s="428"/>
    </row>
    <row r="3246" spans="28:28" x14ac:dyDescent="0.25">
      <c r="AB3246" s="428"/>
    </row>
    <row r="3247" spans="28:28" x14ac:dyDescent="0.25">
      <c r="AB3247" s="428"/>
    </row>
    <row r="3248" spans="28:28" x14ac:dyDescent="0.25">
      <c r="AB3248" s="428"/>
    </row>
    <row r="3249" spans="28:28" x14ac:dyDescent="0.25">
      <c r="AB3249" s="428"/>
    </row>
    <row r="3250" spans="28:28" x14ac:dyDescent="0.25">
      <c r="AB3250" s="428"/>
    </row>
    <row r="3251" spans="28:28" x14ac:dyDescent="0.25">
      <c r="AB3251" s="428"/>
    </row>
    <row r="3252" spans="28:28" x14ac:dyDescent="0.25">
      <c r="AB3252" s="428"/>
    </row>
    <row r="3253" spans="28:28" x14ac:dyDescent="0.25">
      <c r="AB3253" s="428"/>
    </row>
  </sheetData>
  <sheetProtection formatCells="0" formatColumns="0" formatRows="0" insertColumns="0" insertRows="0" insertHyperlinks="0" deleteColumns="0" deleteRows="0" sort="0" autoFilter="0" pivotTables="0"/>
  <autoFilter ref="A6:AB412"/>
  <mergeCells count="2">
    <mergeCell ref="B341:L341"/>
    <mergeCell ref="AA1:AB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T314:T326 T296:T299 T1:T183 T210:T226 Y347 Y93:Y94 T328:T332 T185:T208 U342 U351 Y349 Z239 T255 Z286 Z330 T339:T343 U340 T307:T310 T347:T352 V93:W93 T301:T305 U347 T312 U367:U368 Y351 Y367:Y368 U397:U398 U349 Y397:Y398 U94 T335 T230 T232:T233 T235:T236 T238:T240 T242:T246 T248:T250 T252:T253 T259:T283 T285:T287 T289:T294 T365:T414 T416:T1048576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113175</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113176</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7" customFormat="1" x14ac:dyDescent="0.25">
      <c r="A633" s="327" t="s">
        <v>105516</v>
      </c>
      <c r="B633" s="327" t="s">
        <v>105573</v>
      </c>
      <c r="C633" s="327" t="s">
        <v>105573</v>
      </c>
      <c r="D633" s="327" t="s">
        <v>105520</v>
      </c>
      <c r="E633" s="327" t="s">
        <v>105541</v>
      </c>
      <c r="F633" s="327" t="s">
        <v>105535</v>
      </c>
      <c r="G633" s="327"/>
      <c r="H633" s="327"/>
      <c r="I633" s="327"/>
      <c r="J633" s="318" t="s">
        <v>106708</v>
      </c>
      <c r="K633" s="318" t="s">
        <v>106709</v>
      </c>
      <c r="L633" s="327" t="s">
        <v>105497</v>
      </c>
      <c r="M633" s="318"/>
      <c r="N633" s="327" t="s">
        <v>105533</v>
      </c>
      <c r="O633" s="327" t="s">
        <v>105534</v>
      </c>
      <c r="P633" s="327" t="s">
        <v>105533</v>
      </c>
      <c r="Q633" s="327" t="s">
        <v>105518</v>
      </c>
      <c r="R633" s="327"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8"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7" t="s">
        <v>105516</v>
      </c>
      <c r="B851" s="327" t="s">
        <v>105573</v>
      </c>
      <c r="C851" s="327" t="s">
        <v>105573</v>
      </c>
      <c r="D851" s="327" t="s">
        <v>105573</v>
      </c>
      <c r="E851" s="327" t="s">
        <v>105553</v>
      </c>
      <c r="F851" s="327" t="s">
        <v>105550</v>
      </c>
      <c r="G851" s="327"/>
      <c r="H851" s="327"/>
      <c r="I851" s="327"/>
      <c r="J851" s="318" t="s">
        <v>107091</v>
      </c>
      <c r="K851" s="318" t="s">
        <v>107092</v>
      </c>
      <c r="L851" s="11" t="s">
        <v>105497</v>
      </c>
      <c r="M851" s="12"/>
      <c r="N851" s="11" t="s">
        <v>105533</v>
      </c>
      <c r="O851" s="11" t="s">
        <v>105534</v>
      </c>
      <c r="P851" s="11" t="s">
        <v>105518</v>
      </c>
      <c r="Q851" s="11" t="s">
        <v>105533</v>
      </c>
      <c r="R851" s="11" t="s">
        <v>105518</v>
      </c>
    </row>
    <row r="852" spans="1:18" x14ac:dyDescent="0.25">
      <c r="A852" s="327" t="s">
        <v>105516</v>
      </c>
      <c r="B852" s="327" t="s">
        <v>105573</v>
      </c>
      <c r="C852" s="327" t="s">
        <v>105573</v>
      </c>
      <c r="D852" s="327" t="s">
        <v>105573</v>
      </c>
      <c r="E852" s="327" t="s">
        <v>105553</v>
      </c>
      <c r="F852" s="327" t="s">
        <v>105550</v>
      </c>
      <c r="G852" s="327" t="s">
        <v>105520</v>
      </c>
      <c r="H852" s="327"/>
      <c r="I852" s="327"/>
      <c r="J852" s="318" t="s">
        <v>107093</v>
      </c>
      <c r="K852" s="318" t="s">
        <v>107094</v>
      </c>
      <c r="L852" s="11" t="s">
        <v>105497</v>
      </c>
      <c r="M852" s="12"/>
      <c r="N852" s="11" t="s">
        <v>105518</v>
      </c>
      <c r="O852" s="11" t="s">
        <v>105518</v>
      </c>
      <c r="P852" s="11" t="s">
        <v>105518</v>
      </c>
      <c r="Q852" s="11" t="s">
        <v>105518</v>
      </c>
      <c r="R852" s="11" t="s">
        <v>105518</v>
      </c>
    </row>
    <row r="853" spans="1:18" x14ac:dyDescent="0.25">
      <c r="A853" s="327" t="s">
        <v>105516</v>
      </c>
      <c r="B853" s="327" t="s">
        <v>105573</v>
      </c>
      <c r="C853" s="327" t="s">
        <v>105573</v>
      </c>
      <c r="D853" s="327" t="s">
        <v>105573</v>
      </c>
      <c r="E853" s="327" t="s">
        <v>105553</v>
      </c>
      <c r="F853" s="327" t="s">
        <v>105550</v>
      </c>
      <c r="G853" s="327" t="s">
        <v>105520</v>
      </c>
      <c r="H853" s="327" t="s">
        <v>105576</v>
      </c>
      <c r="I853" s="327"/>
      <c r="J853" s="318" t="s">
        <v>107095</v>
      </c>
      <c r="K853" s="318" t="s">
        <v>107096</v>
      </c>
      <c r="L853" s="11" t="s">
        <v>105497</v>
      </c>
      <c r="M853" s="12"/>
      <c r="N853" s="11" t="s">
        <v>105518</v>
      </c>
      <c r="O853" s="11" t="s">
        <v>105518</v>
      </c>
      <c r="P853" s="11" t="s">
        <v>105533</v>
      </c>
      <c r="Q853" s="11" t="s">
        <v>105518</v>
      </c>
      <c r="R853" s="11" t="s">
        <v>105533</v>
      </c>
    </row>
    <row r="854" spans="1:18" x14ac:dyDescent="0.25">
      <c r="A854" s="327" t="s">
        <v>105516</v>
      </c>
      <c r="B854" s="327" t="s">
        <v>105573</v>
      </c>
      <c r="C854" s="327" t="s">
        <v>105573</v>
      </c>
      <c r="D854" s="327" t="s">
        <v>105573</v>
      </c>
      <c r="E854" s="327" t="s">
        <v>105553</v>
      </c>
      <c r="F854" s="327" t="s">
        <v>105550</v>
      </c>
      <c r="G854" s="327" t="s">
        <v>105520</v>
      </c>
      <c r="H854" s="327" t="s">
        <v>105579</v>
      </c>
      <c r="I854" s="327"/>
      <c r="J854" s="318" t="s">
        <v>107097</v>
      </c>
      <c r="K854" s="318" t="s">
        <v>107098</v>
      </c>
      <c r="L854" s="11" t="s">
        <v>105497</v>
      </c>
      <c r="M854" s="12"/>
      <c r="N854" s="11" t="s">
        <v>105518</v>
      </c>
      <c r="O854" s="11" t="s">
        <v>105518</v>
      </c>
      <c r="P854" s="11" t="s">
        <v>105533</v>
      </c>
      <c r="Q854" s="11" t="s">
        <v>105518</v>
      </c>
      <c r="R854" s="11" t="s">
        <v>105533</v>
      </c>
    </row>
    <row r="855" spans="1:18" x14ac:dyDescent="0.25">
      <c r="A855" s="327" t="s">
        <v>105516</v>
      </c>
      <c r="B855" s="327" t="s">
        <v>105573</v>
      </c>
      <c r="C855" s="327" t="s">
        <v>105573</v>
      </c>
      <c r="D855" s="327" t="s">
        <v>105573</v>
      </c>
      <c r="E855" s="327" t="s">
        <v>105553</v>
      </c>
      <c r="F855" s="327" t="s">
        <v>105550</v>
      </c>
      <c r="G855" s="327" t="s">
        <v>105520</v>
      </c>
      <c r="H855" s="327" t="s">
        <v>106211</v>
      </c>
      <c r="I855" s="327"/>
      <c r="J855" s="318" t="s">
        <v>107099</v>
      </c>
      <c r="K855" s="318" t="s">
        <v>107100</v>
      </c>
      <c r="L855" s="11" t="s">
        <v>105497</v>
      </c>
      <c r="M855" s="12"/>
      <c r="N855" s="11" t="s">
        <v>105518</v>
      </c>
      <c r="O855" s="11" t="s">
        <v>105518</v>
      </c>
      <c r="P855" s="11" t="s">
        <v>105533</v>
      </c>
      <c r="Q855" s="11" t="s">
        <v>105518</v>
      </c>
      <c r="R855" s="11" t="s">
        <v>105533</v>
      </c>
    </row>
    <row r="856" spans="1:18" x14ac:dyDescent="0.25">
      <c r="A856" s="327" t="s">
        <v>105516</v>
      </c>
      <c r="B856" s="327" t="s">
        <v>105573</v>
      </c>
      <c r="C856" s="327" t="s">
        <v>105573</v>
      </c>
      <c r="D856" s="327" t="s">
        <v>105573</v>
      </c>
      <c r="E856" s="327" t="s">
        <v>105553</v>
      </c>
      <c r="F856" s="327" t="s">
        <v>105550</v>
      </c>
      <c r="G856" s="327" t="s">
        <v>105520</v>
      </c>
      <c r="H856" s="327" t="s">
        <v>106214</v>
      </c>
      <c r="I856" s="327"/>
      <c r="J856" s="318" t="s">
        <v>107101</v>
      </c>
      <c r="K856" s="318" t="s">
        <v>107102</v>
      </c>
      <c r="L856" s="11" t="s">
        <v>105497</v>
      </c>
      <c r="M856" s="12"/>
      <c r="N856" s="11" t="s">
        <v>105518</v>
      </c>
      <c r="O856" s="11" t="s">
        <v>105518</v>
      </c>
      <c r="P856" s="11" t="s">
        <v>105533</v>
      </c>
      <c r="Q856" s="11" t="s">
        <v>105518</v>
      </c>
      <c r="R856" s="11" t="s">
        <v>105533</v>
      </c>
    </row>
    <row r="857" spans="1:18" x14ac:dyDescent="0.25">
      <c r="A857" s="327" t="s">
        <v>105516</v>
      </c>
      <c r="B857" s="327" t="s">
        <v>105573</v>
      </c>
      <c r="C857" s="327" t="s">
        <v>105573</v>
      </c>
      <c r="D857" s="327" t="s">
        <v>105573</v>
      </c>
      <c r="E857" s="327" t="s">
        <v>105553</v>
      </c>
      <c r="F857" s="327" t="s">
        <v>105550</v>
      </c>
      <c r="G857" s="327" t="s">
        <v>105520</v>
      </c>
      <c r="H857" s="327" t="s">
        <v>106217</v>
      </c>
      <c r="I857" s="327"/>
      <c r="J857" s="318" t="s">
        <v>107103</v>
      </c>
      <c r="K857" s="318"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8"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8"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8"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113255</v>
      </c>
      <c r="F1" s="260"/>
      <c r="G1" t="s">
        <v>113254</v>
      </c>
    </row>
    <row r="2" spans="1:8" x14ac:dyDescent="0.25">
      <c r="B2" s="259"/>
      <c r="C2" s="258">
        <v>2022</v>
      </c>
      <c r="D2" s="258">
        <v>2023</v>
      </c>
      <c r="E2" s="257" t="s">
        <v>113253</v>
      </c>
      <c r="F2" s="257" t="s">
        <v>113253</v>
      </c>
      <c r="G2" s="256">
        <v>2024</v>
      </c>
    </row>
    <row r="3" spans="1:8" x14ac:dyDescent="0.25">
      <c r="B3" s="253" t="s">
        <v>113252</v>
      </c>
      <c r="C3" s="255">
        <v>5900000</v>
      </c>
      <c r="D3" s="251">
        <v>6684700</v>
      </c>
      <c r="E3" s="251">
        <f t="shared" ref="E3:E11" si="0">+D3*10%</f>
        <v>668470</v>
      </c>
      <c r="F3" s="254">
        <f t="shared" ref="F3:F11" si="1">+D3+E3</f>
        <v>7353170</v>
      </c>
      <c r="G3" s="250">
        <v>7300000</v>
      </c>
    </row>
    <row r="4" spans="1:8" x14ac:dyDescent="0.25">
      <c r="B4" s="253" t="s">
        <v>113251</v>
      </c>
      <c r="C4" s="255">
        <v>4600000</v>
      </c>
      <c r="D4" s="251">
        <v>5211800</v>
      </c>
      <c r="E4" s="251">
        <f t="shared" si="0"/>
        <v>521180</v>
      </c>
      <c r="F4" s="254">
        <f t="shared" si="1"/>
        <v>5732980</v>
      </c>
      <c r="G4" s="250">
        <v>5700000</v>
      </c>
      <c r="H4" s="267"/>
    </row>
    <row r="5" spans="1:8" x14ac:dyDescent="0.25">
      <c r="A5" t="s">
        <v>113259</v>
      </c>
      <c r="B5" s="253" t="s">
        <v>113250</v>
      </c>
      <c r="C5" s="255">
        <v>3300000</v>
      </c>
      <c r="D5" s="251">
        <v>3738900</v>
      </c>
      <c r="E5" s="251">
        <f t="shared" si="0"/>
        <v>373890</v>
      </c>
      <c r="F5" s="254">
        <f t="shared" si="1"/>
        <v>4112790</v>
      </c>
      <c r="G5" s="250">
        <v>4100000</v>
      </c>
      <c r="H5" s="267"/>
    </row>
    <row r="6" spans="1:8" x14ac:dyDescent="0.25">
      <c r="B6" s="253" t="s">
        <v>113249</v>
      </c>
      <c r="C6" s="255">
        <v>2600000</v>
      </c>
      <c r="D6" s="251">
        <v>2945800</v>
      </c>
      <c r="E6" s="251">
        <f t="shared" si="0"/>
        <v>294580</v>
      </c>
      <c r="F6" s="254">
        <f t="shared" si="1"/>
        <v>3240380</v>
      </c>
      <c r="G6" s="250">
        <v>3200000</v>
      </c>
    </row>
    <row r="7" spans="1:8" x14ac:dyDescent="0.25">
      <c r="B7" s="253" t="s">
        <v>113248</v>
      </c>
      <c r="C7" s="255">
        <v>2100000</v>
      </c>
      <c r="D7" s="251">
        <v>2379300</v>
      </c>
      <c r="E7" s="251">
        <f t="shared" si="0"/>
        <v>237930</v>
      </c>
      <c r="F7" s="254">
        <f t="shared" si="1"/>
        <v>2617230</v>
      </c>
      <c r="G7" s="250">
        <v>2600000</v>
      </c>
    </row>
    <row r="8" spans="1:8" x14ac:dyDescent="0.25">
      <c r="B8" s="253" t="s">
        <v>113247</v>
      </c>
      <c r="C8" s="255">
        <v>1400000</v>
      </c>
      <c r="D8" s="251">
        <v>1586200</v>
      </c>
      <c r="E8" s="251">
        <f t="shared" si="0"/>
        <v>158620</v>
      </c>
      <c r="F8" s="254">
        <f t="shared" si="1"/>
        <v>1744820</v>
      </c>
      <c r="G8" s="250">
        <v>1700000</v>
      </c>
    </row>
    <row r="9" spans="1:8" x14ac:dyDescent="0.25">
      <c r="B9" s="253" t="s">
        <v>113246</v>
      </c>
      <c r="C9" s="252">
        <v>2400000</v>
      </c>
      <c r="D9" s="251">
        <v>2500000</v>
      </c>
      <c r="E9" s="251">
        <f t="shared" si="0"/>
        <v>250000</v>
      </c>
      <c r="F9" s="250">
        <f t="shared" si="1"/>
        <v>2750000</v>
      </c>
      <c r="G9" s="250">
        <v>2700000</v>
      </c>
      <c r="H9" s="249"/>
    </row>
    <row r="10" spans="1:8" x14ac:dyDescent="0.25">
      <c r="B10" s="253" t="s">
        <v>113245</v>
      </c>
      <c r="C10" s="252">
        <v>2400000</v>
      </c>
      <c r="D10" s="251">
        <v>2400000</v>
      </c>
      <c r="E10" s="251">
        <f t="shared" si="0"/>
        <v>240000</v>
      </c>
      <c r="F10" s="250">
        <f t="shared" si="1"/>
        <v>2640000</v>
      </c>
      <c r="G10" s="250">
        <v>2600000</v>
      </c>
      <c r="H10" s="249"/>
    </row>
    <row r="11" spans="1:8" x14ac:dyDescent="0.25">
      <c r="B11" s="253" t="s">
        <v>113244</v>
      </c>
      <c r="C11" s="252">
        <v>1800000</v>
      </c>
      <c r="D11" s="251">
        <v>2000000</v>
      </c>
      <c r="E11" s="251">
        <f t="shared" si="0"/>
        <v>200000</v>
      </c>
      <c r="F11" s="250">
        <f t="shared" si="1"/>
        <v>2200000</v>
      </c>
      <c r="G11" s="250">
        <v>2200000</v>
      </c>
    </row>
    <row r="12" spans="1:8" x14ac:dyDescent="0.25">
      <c r="B12" s="264" t="s">
        <v>113258</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2024-10-24T19:39:28Z</dcterms:modified>
</cp:coreProperties>
</file>